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uq-my.sharepoint.com/personal/uqjleyla_uq_edu_au/Documents/Desktop/Form updates - staff-professional services pages/"/>
    </mc:Choice>
  </mc:AlternateContent>
  <xr:revisionPtr revIDLastSave="56" documentId="13_ncr:1_{40B4FE92-1ED8-419E-8651-C822CC2B373A}" xr6:coauthVersionLast="47" xr6:coauthVersionMax="47" xr10:uidLastSave="{92CEE255-3B03-41EA-8094-063803CE0984}"/>
  <bookViews>
    <workbookView xWindow="-120" yWindow="-120" windowWidth="29040" windowHeight="15840" xr2:uid="{00000000-000D-0000-FFFF-FFFF00000000}"/>
  </bookViews>
  <sheets>
    <sheet name="Sheet1" sheetId="1" r:id="rId1"/>
    <sheet name="Sheet2" sheetId="2" r:id="rId2"/>
    <sheet name="Sheet3" sheetId="3" r:id="rId3"/>
  </sheets>
  <definedNames>
    <definedName name="CentreContent" localSheetId="1">Sheet2!$B$10</definedName>
    <definedName name="_xlnm.Print_Area" localSheetId="0">Sheet1!$A$1:$L$124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16" i="2"/>
  <c r="C15" i="2"/>
  <c r="C14" i="2"/>
  <c r="C13" i="2"/>
  <c r="C12" i="2"/>
  <c r="C11" i="2"/>
  <c r="C10" i="2"/>
  <c r="C9" i="2"/>
  <c r="C8" i="2"/>
  <c r="D95" i="2"/>
  <c r="D94" i="2" l="1"/>
  <c r="C36" i="1" l="1"/>
  <c r="D33" i="1"/>
  <c r="A38" i="1" s="1"/>
  <c r="E62" i="1"/>
  <c r="C110" i="2"/>
  <c r="E110" i="2" s="1"/>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08" i="2"/>
  <c r="E108" i="2" s="1"/>
  <c r="D67" i="2"/>
  <c r="D68" i="2"/>
  <c r="D69" i="2"/>
  <c r="D70" i="2"/>
  <c r="D71" i="2"/>
  <c r="D72" i="2"/>
  <c r="D73" i="2"/>
  <c r="D74" i="2"/>
  <c r="D75" i="2"/>
  <c r="D76" i="2"/>
  <c r="D77" i="2"/>
  <c r="D78" i="2"/>
  <c r="D79" i="2"/>
  <c r="D80" i="2"/>
  <c r="D81" i="2"/>
  <c r="D82" i="2"/>
  <c r="D83" i="2"/>
  <c r="D84" i="2"/>
  <c r="C103" i="2"/>
  <c r="C116" i="2"/>
  <c r="C117" i="2"/>
  <c r="E117" i="2" s="1"/>
  <c r="C30" i="1"/>
  <c r="A44" i="1" s="1"/>
  <c r="E102" i="1"/>
  <c r="I78" i="1"/>
  <c r="I70" i="1"/>
  <c r="G61" i="1"/>
  <c r="G60" i="1"/>
  <c r="K62" i="1"/>
  <c r="C24" i="1"/>
  <c r="A26" i="1"/>
  <c r="C77" i="2"/>
  <c r="C78" i="2"/>
  <c r="C48" i="1"/>
  <c r="A50" i="1" s="1"/>
  <c r="C45" i="1"/>
  <c r="A47" i="1" s="1"/>
  <c r="E51" i="1"/>
  <c r="G33" i="1"/>
  <c r="C27" i="1"/>
  <c r="E39" i="1"/>
  <c r="F42" i="1" s="1"/>
  <c r="C83" i="2"/>
  <c r="C42" i="1"/>
  <c r="C68" i="2"/>
  <c r="C69" i="2"/>
  <c r="C70" i="2"/>
  <c r="C71" i="2"/>
  <c r="C72" i="2"/>
  <c r="C73" i="2"/>
  <c r="C74" i="2"/>
  <c r="C75" i="2"/>
  <c r="C76" i="2"/>
  <c r="C79" i="2"/>
  <c r="C80" i="2"/>
  <c r="C81" i="2"/>
  <c r="C82" i="2"/>
  <c r="C84" i="2"/>
  <c r="C67" i="2"/>
  <c r="C111" i="2" l="1"/>
  <c r="F111" i="2" s="1"/>
  <c r="E79" i="1"/>
  <c r="I79" i="1" s="1"/>
  <c r="E72" i="1"/>
  <c r="I72" i="1" s="1"/>
  <c r="A29" i="1"/>
  <c r="A32" i="1"/>
  <c r="E103" i="2"/>
  <c r="C112" i="2"/>
  <c r="E112" i="2" s="1"/>
  <c r="C109" i="2"/>
  <c r="F109" i="2" s="1"/>
  <c r="A35" i="1"/>
  <c r="K38" i="1"/>
  <c r="E63" i="1"/>
  <c r="E73" i="1"/>
  <c r="I73" i="1" s="1"/>
  <c r="F62" i="1"/>
  <c r="E64" i="1"/>
  <c r="E71" i="1"/>
  <c r="I71" i="1" s="1"/>
  <c r="A41" i="1"/>
  <c r="E80" i="1" l="1"/>
  <c r="C114" i="2" s="1"/>
  <c r="F114" i="2" s="1"/>
  <c r="E74" i="1"/>
  <c r="C115" i="2" l="1"/>
  <c r="E115" i="2" s="1"/>
  <c r="F115" i="2" s="1"/>
  <c r="E116" i="2"/>
  <c r="C105" i="2"/>
  <c r="C104" i="2"/>
  <c r="F104" i="2" s="1"/>
  <c r="C106" i="2"/>
  <c r="C107" i="2"/>
  <c r="F106" i="2" l="1"/>
  <c r="F82" i="1"/>
  <c r="E82" i="1"/>
  <c r="E107" i="2"/>
  <c r="F107" i="2"/>
  <c r="F105" i="2"/>
  <c r="E105" i="2"/>
  <c r="I88" i="1" l="1"/>
  <c r="A113" i="1"/>
  <c r="A115" i="1"/>
  <c r="A114" i="1"/>
  <c r="E114" i="1"/>
  <c r="E84" i="1"/>
  <c r="E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Sutjiawan</author>
  </authors>
  <commentList>
    <comment ref="E66" authorId="0" shapeId="0" xr:uid="{00000000-0006-0000-0000-00000100000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xr:uid="{00000000-0006-0000-0000-00000200000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xr:uid="{00000000-0006-0000-0000-000003000000}">
      <text>
        <r>
          <rPr>
            <b/>
            <sz val="9"/>
            <color indexed="81"/>
            <rFont val="Tahoma"/>
            <family val="2"/>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family val="2"/>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xr:uid="{00000000-0006-0000-0000-000004000000}">
      <text>
        <r>
          <rPr>
            <sz val="9"/>
            <color indexed="81"/>
            <rFont val="Tahoma"/>
            <family val="2"/>
          </rPr>
          <t>Maximum amount payable to visitor as per TD 2017/19. Payments in excess of this amount will be subject to withholding tax.</t>
        </r>
      </text>
    </comment>
    <comment ref="E78" authorId="0" shapeId="0" xr:uid="{00000000-0006-0000-0000-00000500000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xr:uid="{00000000-0006-0000-0000-000006000000}">
      <text>
        <r>
          <rPr>
            <sz val="9"/>
            <color indexed="81"/>
            <rFont val="Tahoma"/>
            <family val="2"/>
          </rPr>
          <t>Maximum amount payable to visitor as per TD 2017/5. Payments in excess of this amount will be subject to withholding tax.</t>
        </r>
      </text>
    </comment>
    <comment ref="E105" authorId="0" shapeId="0" xr:uid="{00000000-0006-0000-0000-000007000000}">
      <text>
        <r>
          <rPr>
            <sz val="9"/>
            <color indexed="81"/>
            <rFont val="Tahoma"/>
            <family val="2"/>
          </rPr>
          <t>This must be a physical address. Australian Federal government legislation requires that financial payments cannot be sent to a PO Box address.</t>
        </r>
      </text>
    </comment>
    <comment ref="E109" authorId="0" shapeId="0" xr:uid="{00000000-0006-0000-0000-000008000000}">
      <text>
        <r>
          <rPr>
            <sz val="9"/>
            <color indexed="81"/>
            <rFont val="Tahoma"/>
            <family val="2"/>
          </rPr>
          <t xml:space="preserve">The Bank, State &amp; Branch (BSB) Code is the part of the bank account number that indicates the bank and branch of the account.
</t>
        </r>
      </text>
    </comment>
    <comment ref="E110" authorId="0" shapeId="0" xr:uid="{00000000-0006-0000-0000-00000900000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xr:uid="{00000000-0006-0000-0000-00000A00000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<sst xmlns="http://schemas.openxmlformats.org/spreadsheetml/2006/main" count="242" uniqueCount="164">
  <si>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</si>
  <si>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</si>
  <si>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</si>
  <si>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</si>
  <si>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</si>
  <si>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</si>
  <si>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</si>
  <si>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</si>
  <si>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</si>
  <si>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</si>
  <si>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</si>
  <si>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</si>
  <si>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</si>
  <si>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</si>
  <si>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</si>
  <si>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</si>
  <si>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</si>
  <si>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</si>
  <si>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</si>
  <si>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</si>
  <si>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</si>
  <si>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</si>
  <si>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</si>
  <si>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</si>
  <si>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</si>
  <si>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</si>
  <si>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</si>
  <si>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</si>
  <si>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</si>
  <si>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</si>
  <si>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</si>
  <si>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</si>
  <si>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</si>
  <si>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</si>
  <si>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</si>
  <si>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</si>
  <si>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</si>
  <si>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</si>
  <si>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</si>
  <si>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</si>
  <si>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</si>
  <si>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</si>
  <si>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</si>
  <si>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</si>
  <si>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</si>
  <si>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</si>
  <si>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</si>
  <si>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</si>
  <si>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</si>
  <si>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 xml:space="preserve">  - is claiming a legitimate expense reimbursement with invoices/receipts as supporting documentation [the Non-Staff Expense</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</si>
  <si>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</si>
  <si>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</si>
  <si>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</si>
  <si>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</si>
  <si>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</si>
  <si>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</si>
  <si>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</si>
  <si>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</si>
  <si>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</si>
  <si>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</si>
  <si>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</si>
  <si>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</si>
  <si>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</si>
  <si>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</si>
  <si>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</si>
  <si>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</si>
  <si>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</si>
  <si>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</si>
  <si>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</si>
  <si>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</si>
  <si>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</si>
  <si>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</si>
  <si>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</si>
  <si>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</si>
  <si>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</si>
  <si>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</si>
  <si>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</si>
  <si>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</si>
  <si>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</si>
  <si>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</si>
  <si>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</si>
  <si>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</si>
  <si>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</si>
  <si>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</si>
  <si>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</si>
  <si>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</si>
  <si>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</si>
  <si>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</si>
  <si>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</si>
  <si>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</si>
  <si>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</si>
  <si>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</si>
  <si>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</si>
  <si>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</si>
  <si>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</si>
  <si>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</si>
  <si>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</si>
  <si>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</si>
  <si>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</si>
  <si>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</si>
  <si>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</si>
  <si>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</si>
  <si>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</si>
  <si>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</si>
  <si>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</si>
  <si>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</si>
  <si>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</si>
  <si>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</si>
  <si>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</si>
  <si>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</si>
  <si>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</si>
  <si>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</si>
  <si>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</si>
  <si>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</si>
  <si>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</si>
  <si>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</si>
  <si>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</si>
  <si>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</si>
  <si>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</si>
  <si>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</si>
  <si>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</si>
  <si>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</si>
  <si>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</si>
  <si>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</si>
  <si>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</si>
  <si>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</si>
  <si>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</si>
  <si>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</si>
  <si>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</si>
  <si>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</si>
  <si>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</si>
  <si>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</si>
  <si>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</si>
  <si>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</si>
  <si>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</si>
  <si>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</si>
  <si>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</si>
  <si>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</si>
  <si>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</si>
  <si>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</si>
  <si>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</si>
  <si>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</si>
  <si>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Reimbursement Form is required to be completed and can be found in FBS Online Forms – Accounts Payable section].</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</si>
  <si>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</si>
  <si>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</si>
  <si>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</si>
  <si>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</si>
  <si>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</si>
  <si>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</si>
  <si>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</si>
  <si>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</si>
  <si>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</si>
  <si>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</si>
  <si>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</si>
  <si>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</si>
  <si>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</si>
  <si>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</si>
  <si>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</si>
  <si>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</si>
  <si>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</si>
  <si>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For 2022-23 per TD 2022/10</t>
  </si>
  <si>
    <t>TD 2022/2 contains the weekly amounts inserted below</t>
  </si>
  <si>
    <t xml:space="preserve">2022/23 VISITING ACADEMIC 
PAYMENT REQUEST FORM </t>
  </si>
  <si>
    <t>Version 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</si>
</sst>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6" x14ac:knownFonts="1">
    <font>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0">
    <xf numFmtId="0" fontId="0" fillId="0" borderId="0" xfId="0"/>
    <xf numFmtId="0" fontId="7" fillId="0" borderId="0" xfId="0" applyFont="1"/>
    <xf numFmtId="0" fontId="19" fillId="0" borderId="0" xfId="0" applyFont="1"/>
    <xf numFmtId="0" fontId="12" fillId="0" borderId="12" xfId="1" applyFont="1" applyBorder="1" applyAlignment="1" applyProtection="1">
      <alignment horizontal="center" vertical="top"/>
      <protection locked="0"/>
    </xf>
    <xf numFmtId="0" fontId="12" fillId="0" borderId="10" xfId="1" applyFont="1" applyBorder="1" applyAlignment="1" applyProtection="1">
      <alignment horizontal="center" vertical="top"/>
      <protection locked="0"/>
    </xf>
    <xf numFmtId="0" fontId="12" fillId="0" borderId="11" xfId="1" applyFont="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right"/>
    </xf>
    <xf numFmtId="0" fontId="7" fillId="0" borderId="0" xfId="0" applyFont="1" applyAlignment="1">
      <alignment horizontal="left" vertical="center" indent="2"/>
    </xf>
    <xf numFmtId="0" fontId="10" fillId="0" borderId="0" xfId="0" applyFont="1"/>
    <xf numFmtId="0" fontId="7" fillId="0" borderId="0" xfId="0" applyFont="1" applyAlignment="1">
      <alignment horizontal="center"/>
    </xf>
    <xf numFmtId="0" fontId="7" fillId="0" borderId="0" xfId="0" applyFont="1" applyAlignment="1">
      <alignment horizontal="left" vertical="top" indent="2"/>
    </xf>
    <xf numFmtId="0" fontId="11" fillId="0" borderId="0" xfId="1" applyFont="1" applyAlignment="1">
      <alignment horizontal="left" indent="2"/>
    </xf>
    <xf numFmtId="0" fontId="11" fillId="0" borderId="0" xfId="1" applyFont="1"/>
    <xf numFmtId="0" fontId="11" fillId="0" borderId="1" xfId="1" applyFont="1" applyBorder="1" applyAlignment="1">
      <alignment horizontal="center"/>
    </xf>
    <xf numFmtId="0" fontId="7" fillId="0" borderId="0" xfId="0" applyFont="1" applyAlignment="1">
      <alignment horizontal="left" indent="2"/>
    </xf>
    <xf numFmtId="0" fontId="13" fillId="0" borderId="0" xfId="0" applyFont="1"/>
    <xf numFmtId="0" fontId="14" fillId="0" borderId="0" xfId="0" applyFont="1" applyAlignment="1">
      <alignment horizontal="left" indent="2"/>
    </xf>
    <xf numFmtId="0" fontId="11" fillId="0" borderId="0" xfId="1" applyFont="1" applyAlignment="1">
      <alignment horizontal="left" indent="1"/>
    </xf>
    <xf numFmtId="0" fontId="16" fillId="0" borderId="0" xfId="0" applyFont="1"/>
    <xf numFmtId="0" fontId="15" fillId="0" borderId="0" xfId="0" applyFont="1"/>
    <xf numFmtId="0" fontId="17" fillId="0" borderId="0" xfId="0" applyFont="1"/>
    <xf numFmtId="0" fontId="7" fillId="0" borderId="0" xfId="0" applyFont="1" applyAlignment="1">
      <alignment horizontal="center" vertical="center"/>
    </xf>
    <xf numFmtId="0" fontId="7" fillId="0" borderId="0" xfId="0" applyFont="1" applyAlignment="1">
      <alignment horizontal="right"/>
    </xf>
    <xf numFmtId="0" fontId="9" fillId="0" borderId="0" xfId="0" applyFont="1" applyAlignment="1">
      <alignment horizontal="left" vertical="center"/>
    </xf>
    <xf numFmtId="0" fontId="12" fillId="0" borderId="0" xfId="1" applyFont="1" applyAlignment="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Border="1" applyAlignment="1" applyProtection="1">
      <alignment vertical="center"/>
      <protection locked="0"/>
    </xf>
    <xf numFmtId="0" fontId="7" fillId="0" borderId="7" xfId="0" applyFont="1" applyBorder="1" applyProtection="1">
      <protection locked="0"/>
    </xf>
    <xf numFmtId="0" fontId="7" fillId="0" borderId="8" xfId="0" applyFont="1" applyBorder="1" applyProtection="1">
      <protection locked="0"/>
    </xf>
    <xf numFmtId="0" fontId="9" fillId="0" borderId="6" xfId="0" applyFont="1" applyBorder="1" applyProtection="1">
      <protection locked="0"/>
    </xf>
    <xf numFmtId="0" fontId="9" fillId="0" borderId="7" xfId="0" applyFont="1" applyBorder="1" applyProtection="1">
      <protection locked="0"/>
    </xf>
    <xf numFmtId="0" fontId="9" fillId="0" borderId="8" xfId="0" applyFont="1" applyBorder="1" applyProtection="1">
      <protection locked="0"/>
    </xf>
    <xf numFmtId="0" fontId="7" fillId="0" borderId="9" xfId="0" applyFont="1" applyBorder="1" applyProtection="1">
      <protection locked="0"/>
    </xf>
    <xf numFmtId="0" fontId="7" fillId="0" borderId="0" xfId="0" applyFont="1" applyProtection="1">
      <protection locked="0"/>
    </xf>
    <xf numFmtId="0" fontId="7" fillId="0" borderId="5" xfId="0" applyFont="1" applyBorder="1" applyProtection="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11" fillId="0" borderId="13" xfId="1" applyFont="1" applyBorder="1" applyAlignment="1">
      <alignment horizontal="center"/>
    </xf>
    <xf numFmtId="0" fontId="6" fillId="0" borderId="0" xfId="4" applyFont="1" applyProtection="1"/>
    <xf numFmtId="0" fontId="15" fillId="0" borderId="0" xfId="1" applyFont="1"/>
    <xf numFmtId="0" fontId="21"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3" fillId="0" borderId="0" xfId="0" applyFont="1"/>
    <xf numFmtId="0" fontId="24" fillId="0" borderId="0" xfId="1" applyFont="1"/>
    <xf numFmtId="0" fontId="25" fillId="0" borderId="0" xfId="0" applyFont="1"/>
    <xf numFmtId="0" fontId="7" fillId="0" borderId="0" xfId="0" quotePrefix="1" applyFont="1" applyAlignment="1">
      <alignment horizontal="left" vertical="center"/>
    </xf>
    <xf numFmtId="0" fontId="9" fillId="0" borderId="0" xfId="0" applyFont="1"/>
    <xf numFmtId="0" fontId="7" fillId="0" borderId="0" xfId="0" applyFont="1" applyAlignment="1" applyProtection="1">
      <alignment horizontal="center"/>
      <protection locked="0"/>
    </xf>
    <xf numFmtId="0" fontId="5" fillId="0" borderId="0" xfId="4" applyProtection="1"/>
    <xf numFmtId="0" fontId="7" fillId="2" borderId="0" xfId="0" applyFont="1" applyFill="1" applyAlignment="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44" fontId="11" fillId="0" borderId="1" xfId="2" applyFont="1" applyBorder="1" applyAlignment="1" applyProtection="1">
      <alignment horizontal="center"/>
    </xf>
    <xf numFmtId="0" fontId="11" fillId="3" borderId="1" xfId="1" applyFont="1" applyFill="1" applyBorder="1" applyAlignment="1" applyProtection="1">
      <alignment horizontal="center"/>
      <protection locked="0"/>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xf numFmtId="0" fontId="7" fillId="0" borderId="0" xfId="0" applyFont="1" applyAlignment="1">
      <alignment horizontal="left" vertical="center" wrapText="1" indent="2"/>
    </xf>
    <xf numFmtId="0" fontId="7" fillId="0" borderId="5" xfId="0" applyFont="1" applyBorder="1" applyAlignment="1">
      <alignment horizontal="left" vertical="center" wrapText="1" indent="2"/>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18" fillId="0" borderId="0" xfId="0" applyFont="1" applyAlignment="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7" fillId="3" borderId="4" xfId="0" applyFont="1" applyFill="1" applyBorder="1" applyAlignment="1" applyProtection="1">
      <alignment horizontal="center"/>
      <protection locked="0"/>
    </xf>
  </cellXfs>
  <cellStyles count="7">
    <cellStyle name="Comma" xfId="5" builtinId="3"/>
    <cellStyle name="Currency" xfId="6" builtinId="4"/>
    <cellStyle name="Currency 2" xfId="2" xr:uid="{00000000-0005-0000-0000-000002000000}"/>
    <cellStyle name="Hyperlink" xfId="4" builtinId="8"/>
    <cellStyle name="Normal" xfId="0" builtinId="0"/>
    <cellStyle name="Normal 2" xfId="1"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o.uq.edu.au/files/5702/contractor-employment-taxes-checklist.xlsx"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4"/>
  <sheetViews>
    <sheetView tabSelected="1" zoomScaleNormal="100" zoomScaleSheetLayoutView="100" workbookViewId="0">
      <selection activeCell="F3" sqref="F3:J3"/>
    </sheetView>
  </sheetViews>
  <sheetFormatPr defaultColWidth="9.140625" defaultRowHeight="15" x14ac:dyDescent="0.25"/>
  <cols>
    <col min="1" max="1" width="11.140625" bestFit="1" customWidth="1"/>
    <col min="2" max="2" width="11.7109375" customWidth="1"/>
    <col min="7" max="7" width="10.5703125" bestFit="1" customWidth="1"/>
    <col min="9" max="9" width="14.85546875" customWidth="1"/>
    <col min="12" max="12" width="8.140625" customWidth="1"/>
  </cols>
  <sheetData>
    <row r="1" spans="1:12" ht="50.25" customHeight="1" x14ac:dyDescent="0.25">
      <c r="A1" s="94" t="s">
        <v>162</v>
      </c>
      <c r="B1" s="94"/>
      <c r="C1" s="94"/>
      <c r="D1" s="94"/>
      <c r="E1" s="94"/>
      <c r="F1" s="94"/>
      <c r="G1" s="94"/>
      <c r="H1" s="94"/>
    </row>
    <row r="2" spans="1:12" s="1" customFormat="1" ht="12.75" x14ac:dyDescent="0.2">
      <c r="K2" s="49" t="s">
        <v>163</v>
      </c>
    </row>
    <row r="3" spans="1:12" s="1" customFormat="1" ht="12.75" x14ac:dyDescent="0.2">
      <c r="A3" s="70" t="s">
        <v>157</v>
      </c>
      <c r="E3" s="42"/>
      <c r="F3" s="95"/>
      <c r="G3" s="99"/>
      <c r="H3" s="99"/>
      <c r="I3" s="99"/>
      <c r="J3" s="96"/>
    </row>
    <row r="4" spans="1:12" s="1" customFormat="1" ht="9" customHeight="1" x14ac:dyDescent="0.2">
      <c r="A4" s="70"/>
      <c r="E4" s="71"/>
      <c r="F4" s="71"/>
      <c r="G4" s="71"/>
      <c r="H4" s="71"/>
      <c r="I4" s="71"/>
    </row>
    <row r="5" spans="1:12" s="1" customFormat="1" ht="12.75" x14ac:dyDescent="0.2">
      <c r="A5" s="7" t="s">
        <v>31</v>
      </c>
    </row>
    <row r="6" spans="1:12" s="1" customFormat="1" ht="12.75" x14ac:dyDescent="0.2">
      <c r="A6" s="7"/>
    </row>
    <row r="7" spans="1:12" s="1" customFormat="1" ht="12.75" x14ac:dyDescent="0.2">
      <c r="A7" s="8" t="s">
        <v>144</v>
      </c>
    </row>
    <row r="8" spans="1:12" s="1" customFormat="1" ht="12.75" x14ac:dyDescent="0.2">
      <c r="A8" s="9" t="s">
        <v>32</v>
      </c>
    </row>
    <row r="9" spans="1:12" s="1" customFormat="1" ht="3.75" customHeight="1" x14ac:dyDescent="0.2">
      <c r="A9" s="9"/>
    </row>
    <row r="10" spans="1:12" s="1" customFormat="1" ht="12.75" x14ac:dyDescent="0.2">
      <c r="A10" s="9" t="s">
        <v>141</v>
      </c>
      <c r="B10" s="9"/>
      <c r="C10" s="9"/>
      <c r="D10" s="9"/>
      <c r="E10" s="9"/>
      <c r="F10" s="9"/>
      <c r="G10" s="9"/>
      <c r="H10" s="9"/>
      <c r="I10" s="9"/>
      <c r="J10" s="9"/>
      <c r="K10" s="9"/>
      <c r="L10" s="9"/>
    </row>
    <row r="11" spans="1:12" s="1" customFormat="1" ht="12.75" x14ac:dyDescent="0.2">
      <c r="A11" s="9" t="s">
        <v>143</v>
      </c>
      <c r="B11" s="9"/>
      <c r="C11" s="9"/>
      <c r="D11" s="9"/>
      <c r="E11" s="9"/>
      <c r="F11" s="9"/>
      <c r="G11" s="9"/>
      <c r="H11" s="9"/>
      <c r="I11" s="9"/>
      <c r="J11" s="9"/>
      <c r="K11" s="9"/>
      <c r="L11" s="9"/>
    </row>
    <row r="12" spans="1:12" s="1" customFormat="1" ht="4.5" customHeight="1" x14ac:dyDescent="0.2">
      <c r="A12" s="9"/>
      <c r="B12" s="9"/>
      <c r="C12" s="9"/>
      <c r="D12" s="9"/>
      <c r="E12" s="9"/>
      <c r="F12" s="9"/>
      <c r="G12" s="9"/>
      <c r="H12" s="9"/>
      <c r="I12" s="9"/>
      <c r="J12" s="9"/>
      <c r="K12" s="9"/>
      <c r="L12" s="9"/>
    </row>
    <row r="13" spans="1:12" s="1" customFormat="1" ht="12.75" x14ac:dyDescent="0.2">
      <c r="A13" s="9" t="s">
        <v>49</v>
      </c>
      <c r="B13" s="9"/>
      <c r="C13" s="9"/>
      <c r="D13" s="9"/>
      <c r="E13" s="9"/>
      <c r="F13" s="9"/>
      <c r="G13" s="9"/>
      <c r="H13" s="9"/>
      <c r="I13" s="9"/>
      <c r="J13" s="9"/>
      <c r="K13" s="9"/>
      <c r="L13" s="9"/>
    </row>
    <row r="14" spans="1:12" s="1" customFormat="1" ht="12.75" x14ac:dyDescent="0.2">
      <c r="A14" s="9" t="s">
        <v>142</v>
      </c>
      <c r="B14" s="9"/>
      <c r="C14" s="9"/>
      <c r="D14" s="9"/>
      <c r="E14" s="9"/>
      <c r="F14" s="9"/>
      <c r="G14" s="9"/>
      <c r="H14" s="9"/>
      <c r="I14" s="9"/>
      <c r="J14" s="9"/>
      <c r="K14" s="9"/>
      <c r="L14" s="9"/>
    </row>
    <row r="15" spans="1:12" s="1" customFormat="1" ht="4.5" customHeight="1" x14ac:dyDescent="0.2">
      <c r="A15" s="9"/>
      <c r="B15" s="9"/>
      <c r="C15" s="9"/>
      <c r="D15" s="9"/>
      <c r="E15" s="9"/>
      <c r="F15" s="9"/>
      <c r="G15" s="9"/>
      <c r="H15" s="9"/>
      <c r="I15" s="9"/>
      <c r="J15" s="9"/>
      <c r="K15" s="9"/>
      <c r="L15" s="9"/>
    </row>
    <row r="16" spans="1:12" s="1" customFormat="1" ht="12.75" x14ac:dyDescent="0.2">
      <c r="A16" s="9" t="s">
        <v>155</v>
      </c>
      <c r="B16" s="10"/>
      <c r="C16" s="10"/>
      <c r="D16" s="10"/>
      <c r="E16" s="10"/>
      <c r="F16" s="10"/>
      <c r="G16" s="10"/>
      <c r="H16" s="10"/>
      <c r="I16" s="10"/>
      <c r="J16" s="10"/>
      <c r="K16" s="10"/>
      <c r="L16" s="10"/>
    </row>
    <row r="17" spans="1:12" s="1" customFormat="1" ht="3" customHeight="1" x14ac:dyDescent="0.2">
      <c r="A17" s="9"/>
      <c r="B17" s="10"/>
      <c r="C17" s="10"/>
      <c r="D17" s="10"/>
      <c r="E17" s="10"/>
      <c r="F17" s="10"/>
      <c r="G17" s="10"/>
      <c r="H17" s="10"/>
      <c r="I17" s="10"/>
      <c r="J17" s="10"/>
      <c r="K17" s="10"/>
      <c r="L17" s="10"/>
    </row>
    <row r="18" spans="1:12" s="1" customFormat="1" ht="12.75" x14ac:dyDescent="0.2">
      <c r="A18" s="69" t="s">
        <v>156</v>
      </c>
      <c r="B18" s="10"/>
      <c r="C18" s="10"/>
      <c r="D18" s="10"/>
      <c r="E18" s="10"/>
      <c r="F18" s="10"/>
      <c r="G18" s="10"/>
      <c r="H18" s="10"/>
      <c r="I18" s="10"/>
      <c r="J18" s="10"/>
      <c r="K18" s="10"/>
      <c r="L18" s="10"/>
    </row>
    <row r="19" spans="1:12" s="1" customFormat="1" ht="6.75" customHeight="1" x14ac:dyDescent="0.2">
      <c r="A19" s="69"/>
      <c r="B19" s="10"/>
      <c r="C19" s="10"/>
      <c r="D19" s="10"/>
      <c r="E19" s="10"/>
      <c r="F19" s="10"/>
      <c r="G19" s="10"/>
      <c r="H19" s="10"/>
      <c r="I19" s="10"/>
      <c r="J19" s="10"/>
      <c r="K19" s="10"/>
      <c r="L19" s="10"/>
    </row>
    <row r="20" spans="1:12" s="1" customFormat="1" ht="12.75" x14ac:dyDescent="0.2">
      <c r="A20" s="11" t="s">
        <v>145</v>
      </c>
      <c r="B20" s="12"/>
      <c r="C20" s="12"/>
      <c r="D20" s="12"/>
      <c r="E20" s="12"/>
      <c r="F20" s="12"/>
      <c r="G20" s="12"/>
      <c r="H20" s="12"/>
      <c r="I20" s="12"/>
      <c r="J20" s="12"/>
      <c r="K20" s="12"/>
      <c r="L20" s="13"/>
    </row>
    <row r="21" spans="1:12" s="1" customFormat="1" ht="6.75" customHeight="1" x14ac:dyDescent="0.2">
      <c r="A21" s="8"/>
      <c r="L21" s="29"/>
    </row>
    <row r="22" spans="1:12" s="1" customFormat="1" ht="3.75" customHeight="1" x14ac:dyDescent="0.2">
      <c r="A22" s="8"/>
      <c r="L22" s="29"/>
    </row>
    <row r="23" spans="1:12" s="1" customFormat="1" ht="12.75" x14ac:dyDescent="0.2">
      <c r="A23" s="14" t="s">
        <v>146</v>
      </c>
    </row>
    <row r="24" spans="1:12" s="1" customFormat="1" ht="12.75" x14ac:dyDescent="0.2">
      <c r="A24" s="14"/>
      <c r="B24" s="6"/>
      <c r="C24" s="15" t="str">
        <f>IF(B24="Yes","  (continue to 1b)",IF(B24="No","  (continue to 1b)",""))</f>
        <v/>
      </c>
    </row>
    <row r="25" spans="1:12" s="1" customFormat="1" ht="12.75" x14ac:dyDescent="0.2">
      <c r="A25" s="14"/>
    </row>
    <row r="26" spans="1:12" s="1" customFormat="1" ht="12.75" x14ac:dyDescent="0.2">
      <c r="A26" s="14" t="str">
        <f>IF(B24="No","b)  Is the visiting academic travelling away from the usual place of residence?",IF(B24="","","b)  Is the visiting academic travelling away from the usual place of residence?"))</f>
        <v/>
      </c>
      <c r="B26" s="16"/>
    </row>
    <row r="27" spans="1:12" s="1" customFormat="1" ht="12.75" x14ac:dyDescent="0.2">
      <c r="A27" s="14"/>
      <c r="B27" s="6"/>
      <c r="C27" s="15" t="str">
        <f>IF(B27="Yes","  (continue to 1c)",IF(B27="No","  (continue to section 2)",""))</f>
        <v/>
      </c>
    </row>
    <row r="28" spans="1:12" s="1" customFormat="1" ht="12.75" x14ac:dyDescent="0.2">
      <c r="A28" s="14"/>
      <c r="B28" s="16"/>
    </row>
    <row r="29" spans="1:12" s="1" customFormat="1" ht="12.75" x14ac:dyDescent="0.2">
      <c r="A29" s="14" t="str">
        <f>IF(C24="  (continue to 1c)","c)  Is the visiting academic staying for a period of less than 90 days?",IF(C27="  (continue to 1c)","c)  Is the visiting academic staying for a period of less than 90 days?",""))</f>
        <v/>
      </c>
      <c r="B29" s="16"/>
    </row>
    <row r="30" spans="1:12" s="1" customFormat="1" ht="12.75" x14ac:dyDescent="0.2">
      <c r="A30" s="14"/>
      <c r="B30" s="6"/>
      <c r="C30" s="15" t="str">
        <f>IF(AND(B24="Yes",B27="Yes",B30="Yes"),"  (continue to section 2)",IF(AND(B27="Yes",B30="Yes"),"  (continue to 1d)",IF(AND(B24="Yes",B30="No"),"  (continue to 1h)",IF(B30="Yes","  (continue to 1d)",IF(B30="No","  (continue to 1d)","")))))</f>
        <v/>
      </c>
    </row>
    <row r="31" spans="1:12" s="1" customFormat="1" ht="12.75" x14ac:dyDescent="0.2">
      <c r="A31" s="14"/>
      <c r="B31" s="16"/>
    </row>
    <row r="32" spans="1:12" s="1" customFormat="1" ht="12.75" x14ac:dyDescent="0.2">
      <c r="A32" s="14" t="str">
        <f>IF(C30="  (continue to 1d)","d)  What is the overseas visiting academic's home country?","")</f>
        <v/>
      </c>
      <c r="B32" s="16"/>
    </row>
    <row r="33" spans="1:15" s="1" customFormat="1" ht="12.75" x14ac:dyDescent="0.2">
      <c r="A33" s="14"/>
      <c r="B33" s="95"/>
      <c r="C33" s="96"/>
      <c r="D33" s="15" t="str">
        <f>IF(B33="","",IF(B33="NOT LISTED","  (continue to section 2)",IF(SUM(Sheet2!C67:C84)&gt;0.5,"  (continue to 1e)","  (continue to 1f)")))</f>
        <v/>
      </c>
      <c r="G33" s="2" t="str">
        <f>IF(B30="","",IF(AND(B24="No",B30="No"),"(if not in drop down box, the country has no applicable DTA - choose 'NOT LISTED')",""))</f>
        <v/>
      </c>
    </row>
    <row r="34" spans="1:15" s="1" customFormat="1" ht="12.75" x14ac:dyDescent="0.2">
      <c r="A34" s="14"/>
    </row>
    <row r="35" spans="1:15" s="1" customFormat="1" ht="12.75" x14ac:dyDescent="0.2">
      <c r="A35" s="14" t="str">
        <f>IF(D33="  (continue to 1e)","e)  Is the visit for a period of less than 2 years?","")</f>
        <v/>
      </c>
      <c r="B35" s="16"/>
    </row>
    <row r="36" spans="1:15" s="1" customFormat="1" ht="12.75" x14ac:dyDescent="0.2">
      <c r="A36" s="14"/>
      <c r="B36" s="6"/>
      <c r="C36" s="15" t="str">
        <f>IF(B36="Yes","  (continue to section 2)",IF(B36="No","  (continue to 1f)",""))</f>
        <v/>
      </c>
    </row>
    <row r="37" spans="1:15" s="1" customFormat="1" ht="12.75" x14ac:dyDescent="0.2">
      <c r="A37" s="14"/>
    </row>
    <row r="38" spans="1:15" s="1" customFormat="1" x14ac:dyDescent="0.25">
      <c r="A38" s="14" t="str">
        <f>IF(D33="  (continue to 1f)","f)  Is the visiting academic an employee or an independent contractor as per the UQ Contractor Checklist?",IF(C36="  (continue to 1f)","f)  Is the visiting academic an employee or an independent contractor as per the UQ Contractor Checklist?",""))</f>
        <v/>
      </c>
      <c r="K38" s="72" t="str">
        <f>IF(D33="  (continue to 1f)","UQ Contractor checklist link",IF(C36="  (continue to 1f)","UQ Contractor checklist link",""))</f>
        <v/>
      </c>
    </row>
    <row r="39" spans="1:15" s="1" customFormat="1" ht="12.75" x14ac:dyDescent="0.2">
      <c r="A39" s="14"/>
      <c r="B39" s="95"/>
      <c r="C39" s="99"/>
      <c r="D39" s="96"/>
      <c r="E39" s="15" t="str">
        <f>IF(B39="Employee","  (continue to section 2)",IF(B39="Independent contractor","  (continue to 1g)",""))</f>
        <v/>
      </c>
    </row>
    <row r="40" spans="1:15" s="1" customFormat="1" ht="12.75" x14ac:dyDescent="0.2">
      <c r="A40" s="14"/>
    </row>
    <row r="41" spans="1:15" s="1" customFormat="1" ht="12.75" customHeight="1" x14ac:dyDescent="0.2">
      <c r="A41" s="17" t="str">
        <f>IF(E39="  (continue to 1g)","g)  "&amp;VLOOKUP(B33,Sheet2!B24:C62,2,FALSE),"")</f>
        <v/>
      </c>
      <c r="B41" s="17"/>
      <c r="C41" s="17"/>
      <c r="D41" s="17"/>
      <c r="E41" s="17"/>
      <c r="F41" s="17"/>
      <c r="G41" s="17"/>
      <c r="H41" s="17"/>
      <c r="I41" s="17"/>
      <c r="J41" s="17"/>
      <c r="L41" s="2"/>
      <c r="M41" s="2"/>
      <c r="N41" s="2"/>
      <c r="O41" s="2"/>
    </row>
    <row r="42" spans="1:15" s="1" customFormat="1" ht="12.75" x14ac:dyDescent="0.2">
      <c r="A42" s="14"/>
      <c r="B42" s="6"/>
      <c r="C42" s="15" t="str">
        <f>IF(B42="Yes","  (continue to section 2)",IF(B42="No","  (continue to section 2)",""))</f>
        <v/>
      </c>
      <c r="F42" s="2" t="str">
        <f>IF(E39="  (continue to 1g)","Note: A fixed base is a distinct place / established post or office with a degree of permanance (outside of UQ). ","")</f>
        <v/>
      </c>
      <c r="K42" s="2"/>
      <c r="L42" s="2"/>
      <c r="M42" s="2"/>
      <c r="N42" s="2"/>
      <c r="O42" s="2"/>
    </row>
    <row r="43" spans="1:15" s="1" customFormat="1" ht="12.75" x14ac:dyDescent="0.2">
      <c r="K43" s="2"/>
      <c r="L43" s="2"/>
      <c r="M43" s="2"/>
      <c r="N43" s="2"/>
      <c r="O43" s="2"/>
    </row>
    <row r="44" spans="1:15" s="1" customFormat="1" ht="12.75" x14ac:dyDescent="0.2">
      <c r="A44" s="17" t="str">
        <f>IF(C30="  (continue to 1h)","h)  Is the visiting academic staying for a period of less than 365 days?","")</f>
        <v/>
      </c>
      <c r="G44" s="2"/>
      <c r="K44" s="2"/>
      <c r="L44" s="2"/>
      <c r="M44" s="2"/>
      <c r="N44" s="2"/>
      <c r="O44" s="2"/>
    </row>
    <row r="45" spans="1:15" s="1" customFormat="1" ht="12.75" x14ac:dyDescent="0.2">
      <c r="B45" s="6"/>
      <c r="C45" s="15" t="str">
        <f>IF(B45="Yes","  (continue to 1i)",IF(B45="No"," (continue to section 2",""))</f>
        <v/>
      </c>
      <c r="G45" s="2"/>
      <c r="K45" s="2"/>
      <c r="L45" s="2"/>
      <c r="M45" s="2"/>
      <c r="N45" s="2"/>
      <c r="O45" s="2"/>
    </row>
    <row r="46" spans="1:15" s="1" customFormat="1" ht="12.75" x14ac:dyDescent="0.2">
      <c r="G46" s="2"/>
      <c r="K46" s="2"/>
      <c r="L46" s="2"/>
      <c r="M46" s="2"/>
      <c r="N46" s="2"/>
      <c r="O46" s="2"/>
    </row>
    <row r="47" spans="1:15" s="1" customFormat="1" ht="12.75" x14ac:dyDescent="0.2">
      <c r="A47" s="17" t="str">
        <f>IF(C45="  (continue to 1i)","i)  Is the visiting academic maintaining a home at their usual place of residence which is available for their own use at any time?","")</f>
        <v/>
      </c>
      <c r="G47" s="2"/>
      <c r="K47" s="2"/>
      <c r="L47" s="2"/>
      <c r="M47" s="2"/>
      <c r="N47" s="2"/>
      <c r="O47" s="2"/>
    </row>
    <row r="48" spans="1:15" s="1" customFormat="1" ht="12.75" x14ac:dyDescent="0.2">
      <c r="B48" s="6"/>
      <c r="C48" s="15" t="str">
        <f>IF(B48="Yes","  (continue to 1j)",IF(B48="No"," (continue to section 2)",""))</f>
        <v/>
      </c>
      <c r="G48" s="2"/>
      <c r="K48" s="2"/>
      <c r="L48" s="2"/>
      <c r="M48" s="2"/>
      <c r="N48" s="2"/>
      <c r="O48" s="2"/>
    </row>
    <row r="49" spans="1:15" s="1" customFormat="1" ht="12.75" x14ac:dyDescent="0.2">
      <c r="G49" s="2"/>
      <c r="K49" s="2"/>
      <c r="L49" s="2"/>
      <c r="M49" s="2"/>
      <c r="N49" s="2"/>
      <c r="O49" s="2"/>
    </row>
    <row r="50" spans="1:15" s="1" customFormat="1" ht="12.75" x14ac:dyDescent="0.2">
      <c r="A50" s="17" t="str">
        <f>IF(C48="  (continue to 1j)","j)  How many adults (over twelve) and how many children are living away from home including the visting academic?","")</f>
        <v/>
      </c>
      <c r="G50" s="2"/>
      <c r="K50" s="2"/>
      <c r="L50" s="2"/>
      <c r="M50" s="2"/>
      <c r="N50" s="2"/>
      <c r="O50" s="2"/>
    </row>
    <row r="51" spans="1:15" s="1" customFormat="1" ht="15" customHeight="1" x14ac:dyDescent="0.2">
      <c r="B51" s="95"/>
      <c r="C51" s="99"/>
      <c r="D51" s="96"/>
      <c r="E51" s="15" t="str">
        <f>IF(B51="","","  (continue to section 2)")</f>
        <v/>
      </c>
    </row>
    <row r="52" spans="1:15" s="1" customFormat="1" ht="6.75" customHeight="1" x14ac:dyDescent="0.2"/>
    <row r="53" spans="1:15" s="1" customFormat="1" ht="6" customHeight="1" x14ac:dyDescent="0.2"/>
    <row r="54" spans="1:15" s="1" customFormat="1" ht="5.25" customHeight="1" x14ac:dyDescent="0.2"/>
    <row r="55" spans="1:15" s="1" customFormat="1" ht="12.75" x14ac:dyDescent="0.2">
      <c r="A55" s="11" t="s">
        <v>33</v>
      </c>
      <c r="B55" s="12"/>
      <c r="C55" s="12"/>
      <c r="D55" s="12"/>
      <c r="E55" s="12"/>
      <c r="F55" s="12"/>
      <c r="G55" s="12"/>
      <c r="H55" s="12"/>
      <c r="I55" s="12"/>
      <c r="J55" s="12"/>
      <c r="K55" s="12"/>
      <c r="L55" s="13"/>
    </row>
    <row r="56" spans="1:15" s="1" customFormat="1" ht="12.75" x14ac:dyDescent="0.2"/>
    <row r="57" spans="1:15" s="1" customFormat="1" ht="54" customHeight="1" x14ac:dyDescent="0.2">
      <c r="A57" s="14" t="s">
        <v>96</v>
      </c>
      <c r="E57" s="76" t="s">
        <v>3</v>
      </c>
      <c r="F57" s="77"/>
      <c r="G57" s="77"/>
      <c r="H57" s="77"/>
      <c r="I57" s="77"/>
      <c r="J57" s="77"/>
      <c r="K57" s="77"/>
      <c r="L57" s="78"/>
    </row>
    <row r="58" spans="1:15" s="1" customFormat="1" ht="12.75" x14ac:dyDescent="0.2"/>
    <row r="59" spans="1:15" s="1" customFormat="1" ht="12.75" x14ac:dyDescent="0.2">
      <c r="A59" s="18" t="s">
        <v>149</v>
      </c>
      <c r="B59" s="19"/>
      <c r="C59" s="19"/>
      <c r="D59" s="19"/>
      <c r="E59" s="19"/>
      <c r="F59" s="19"/>
      <c r="I59" s="1" t="s">
        <v>153</v>
      </c>
    </row>
    <row r="60" spans="1:15" s="1" customFormat="1" ht="12.75" x14ac:dyDescent="0.2">
      <c r="A60" s="19"/>
      <c r="B60" s="19" t="s">
        <v>97</v>
      </c>
      <c r="C60" s="19"/>
      <c r="E60" s="79"/>
      <c r="F60" s="80"/>
      <c r="G60" s="68" t="str">
        <f>IF(E60="","Start date must be provided","")</f>
        <v>Start date must be provided</v>
      </c>
      <c r="J60" s="29" t="s">
        <v>151</v>
      </c>
      <c r="K60" s="79"/>
      <c r="L60" s="80"/>
    </row>
    <row r="61" spans="1:15" s="1" customFormat="1" ht="12.75" x14ac:dyDescent="0.2">
      <c r="A61" s="19"/>
      <c r="B61" s="19" t="s">
        <v>98</v>
      </c>
      <c r="C61" s="19"/>
      <c r="E61" s="79"/>
      <c r="F61" s="80"/>
      <c r="G61" s="68" t="str">
        <f>IF(E61="","End date must be provided","")</f>
        <v>End date must be provided</v>
      </c>
      <c r="J61" s="29" t="s">
        <v>150</v>
      </c>
      <c r="K61" s="79"/>
      <c r="L61" s="80"/>
    </row>
    <row r="62" spans="1:15" s="1" customFormat="1" ht="12.75" x14ac:dyDescent="0.2">
      <c r="A62" s="19"/>
      <c r="B62" s="19" t="s">
        <v>99</v>
      </c>
      <c r="C62" s="19"/>
      <c r="E62" s="20">
        <f>IF(AND(E60="",E61=""),0,E61-E60+1)</f>
        <v>0</v>
      </c>
      <c r="F62" s="67" t="str">
        <f>IF(AND(B30="Yes",E62&gt;89.5),"  This contradicts the answer at 1(c) above. Please check.",IF(AND(B30="No",E62&lt;89.5),"  This contradicts the answer at 1(c) above. Please check.",""))</f>
        <v/>
      </c>
      <c r="J62" s="29" t="s">
        <v>152</v>
      </c>
      <c r="K62" s="20">
        <f>IF(AND(K60="",K61=""),0,K61-K60+1)</f>
        <v>0</v>
      </c>
      <c r="L62" s="48"/>
    </row>
    <row r="63" spans="1:15" s="1" customFormat="1" ht="12.75" x14ac:dyDescent="0.2">
      <c r="E63" s="48" t="str">
        <f>IF(AND(B42="No",E62&gt;182.5),"  This contradicts the answer at 1(g) above. Please check.","")</f>
        <v/>
      </c>
    </row>
    <row r="64" spans="1:15" s="1" customFormat="1" ht="12.75" x14ac:dyDescent="0.2">
      <c r="E64" s="48" t="str">
        <f>IF(AND(B45="Yes",E62&gt;365),"  This contradicts the answer at 1(h) above. Please check.",IF(AND(B45="No",E62&lt;365),"  This contradicts the answer at 1(h) above. Please check.",""))</f>
        <v/>
      </c>
    </row>
    <row r="65" spans="1:12" s="1" customFormat="1" ht="12.75" x14ac:dyDescent="0.2">
      <c r="E65" s="48"/>
    </row>
    <row r="66" spans="1:12" s="1" customFormat="1" ht="12.75" x14ac:dyDescent="0.2">
      <c r="A66" s="21" t="s">
        <v>148</v>
      </c>
      <c r="E66" s="74"/>
      <c r="F66" s="75"/>
      <c r="G66" s="22"/>
      <c r="J66" s="29" t="s">
        <v>147</v>
      </c>
      <c r="K66" s="74"/>
      <c r="L66" s="75"/>
    </row>
    <row r="67" spans="1:12" s="1" customFormat="1" ht="12.75" x14ac:dyDescent="0.2">
      <c r="A67" s="23"/>
    </row>
    <row r="68" spans="1:12" s="1" customFormat="1" ht="12.75" x14ac:dyDescent="0.2">
      <c r="A68" s="21" t="s">
        <v>40</v>
      </c>
    </row>
    <row r="69" spans="1:12" s="1" customFormat="1" ht="12.75" x14ac:dyDescent="0.2">
      <c r="A69" s="21"/>
    </row>
    <row r="70" spans="1:12" s="1" customFormat="1" ht="12.75" x14ac:dyDescent="0.2">
      <c r="B70" s="24" t="s">
        <v>4</v>
      </c>
      <c r="C70" s="19"/>
      <c r="E70" s="82"/>
      <c r="F70" s="82"/>
      <c r="G70" s="82"/>
      <c r="H70" s="82"/>
      <c r="I70" s="26" t="str">
        <f>IF(AND(E70="",B30="YES"),"&lt;&lt; Selection from drop down list must be made","")</f>
        <v/>
      </c>
    </row>
    <row r="71" spans="1:12" s="1" customFormat="1" ht="12.75" x14ac:dyDescent="0.2">
      <c r="A71" s="19"/>
      <c r="B71" s="24" t="s">
        <v>37</v>
      </c>
      <c r="C71" s="19"/>
      <c r="E71" s="81">
        <f>IF(B27="no",0,IF(E62&gt;89.5,0,IF(E70="commercial",Sheet2!D93*$E$62,IF(E70="Non-commercial",Sheet2!D94*$E$62,0))))</f>
        <v>0</v>
      </c>
      <c r="F71" s="81"/>
      <c r="G71" s="81"/>
      <c r="H71" s="81"/>
      <c r="I71" s="25" t="str">
        <f>IF(B27="No"," No travel allowance due to answer at 1(b).",IF(E62&gt;89.5," No travel allowance as stay is greater than 89 days.",IF(AND(E71&gt;0,E70="Commercial")," = $"&amp;Sheet2!D93&amp;" per day for "&amp;E62&amp;" days",IF(AND(E71&gt;0,E70="Non-commercial")," = $"&amp;Sheet2!D94&amp;" per day for "&amp;E62&amp;" days",""))))</f>
        <v/>
      </c>
    </row>
    <row r="72" spans="1:12" s="1" customFormat="1" ht="12.75" x14ac:dyDescent="0.2">
      <c r="A72" s="19"/>
      <c r="B72" s="24" t="s">
        <v>38</v>
      </c>
      <c r="C72" s="19"/>
      <c r="E72" s="81">
        <f>IF(B27="No",0,IF(E62&gt;89.5,0,IF(E70="",0,E62*Sheet2!D95)))</f>
        <v>0</v>
      </c>
      <c r="F72" s="81"/>
      <c r="G72" s="81"/>
      <c r="H72" s="81"/>
      <c r="I72" s="25" t="str">
        <f>IF(E72&gt;0," = $"&amp;Sheet2!D95&amp;" per day for "&amp;E62&amp;" days","")</f>
        <v/>
      </c>
    </row>
    <row r="73" spans="1:12" s="1" customFormat="1" ht="12.75" x14ac:dyDescent="0.2">
      <c r="A73" s="19"/>
      <c r="B73" s="24" t="s">
        <v>39</v>
      </c>
      <c r="C73" s="19"/>
      <c r="E73" s="81">
        <f>IF(B27="No",0,IF(E62&gt;89.5,0,IF(E70="",0,E62*Sheet2!D96)))</f>
        <v>0</v>
      </c>
      <c r="F73" s="81"/>
      <c r="G73" s="81"/>
      <c r="H73" s="81"/>
      <c r="I73" s="25" t="str">
        <f>IF(E73&gt;0," = $"&amp;Sheet2!D96&amp;" per day for "&amp;E62&amp;" days","")</f>
        <v/>
      </c>
    </row>
    <row r="74" spans="1:12" s="1" customFormat="1" ht="12.75" x14ac:dyDescent="0.2">
      <c r="B74" s="19" t="s">
        <v>17</v>
      </c>
      <c r="C74" s="19"/>
      <c r="E74" s="81">
        <f>SUM(E71:F73)</f>
        <v>0</v>
      </c>
      <c r="F74" s="81"/>
      <c r="G74" s="81"/>
      <c r="H74" s="81"/>
      <c r="I74" s="25"/>
    </row>
    <row r="75" spans="1:12" s="1" customFormat="1" ht="12.75" x14ac:dyDescent="0.2"/>
    <row r="76" spans="1:12" s="1" customFormat="1" ht="12.75" x14ac:dyDescent="0.2">
      <c r="A76" s="21" t="s">
        <v>131</v>
      </c>
    </row>
    <row r="77" spans="1:12" s="1" customFormat="1" ht="12.75" x14ac:dyDescent="0.2">
      <c r="A77" s="21"/>
    </row>
    <row r="78" spans="1:12" s="1" customFormat="1" ht="12.75" x14ac:dyDescent="0.2">
      <c r="B78" s="24" t="s">
        <v>4</v>
      </c>
      <c r="C78" s="19"/>
      <c r="E78" s="82"/>
      <c r="F78" s="82"/>
      <c r="G78" s="82"/>
      <c r="H78" s="82"/>
      <c r="I78" s="26" t="str">
        <f>IF(AND(E78="",B24="YES",B30="No",B45="YES",B48="YES"),"&lt;&lt; Selection from drop down list must be made","")</f>
        <v/>
      </c>
    </row>
    <row r="79" spans="1:12" s="1" customFormat="1" ht="12.75" x14ac:dyDescent="0.2">
      <c r="A79" s="19"/>
      <c r="B79" s="24" t="s">
        <v>38</v>
      </c>
      <c r="C79" s="19"/>
      <c r="E79" s="81">
        <f>IFERROR(IF(B27="No",0,IF(AND(E62&gt;89.5,B48="Yes"),(VLOOKUP(B51,Sheet2!B7:C16,2,FALSE)*E62),0)),0)</f>
        <v>0</v>
      </c>
      <c r="F79" s="81"/>
      <c r="G79" s="81"/>
      <c r="H79" s="81"/>
      <c r="I79" s="25" t="str">
        <f>IF(B45="No"," No LAFHA due to answer at 1(h).",IF(E62&gt;365," No LAFHA allowance as stay is greater than 365 days.",IF(E79&gt;0," = $"&amp;VLOOKUP(B51,Sheet2!B7:C16,2,FALSE)&amp;" per day for "&amp;E62&amp;" days","")))</f>
        <v/>
      </c>
    </row>
    <row r="80" spans="1:12" s="1" customFormat="1" ht="12.75" x14ac:dyDescent="0.2">
      <c r="B80" s="19" t="s">
        <v>17</v>
      </c>
      <c r="C80" s="19"/>
      <c r="E80" s="81">
        <f>SUM(E79:F79)</f>
        <v>0</v>
      </c>
      <c r="F80" s="81"/>
      <c r="G80" s="81"/>
      <c r="H80" s="81"/>
      <c r="I80" s="25"/>
    </row>
    <row r="81" spans="1:12" s="1" customFormat="1" ht="12.75" x14ac:dyDescent="0.2"/>
    <row r="82" spans="1:12" s="1" customFormat="1" ht="12.75" x14ac:dyDescent="0.2">
      <c r="A82" s="21" t="s">
        <v>132</v>
      </c>
      <c r="E82" s="46" t="str">
        <f>IF(B24="","",IF(Sheet2!C103="Yes","Yes",IF(Sheet2!C104="No","No",IF(Sheet2!C105="Yes","Yes",IF(Sheet2!C106="No","No",IF(Sheet2!C107="Yes","Yes",IF(Sheet2!C108="Yes","Yes",IF(Sheet2!C109="No","No",IF(Sheet2!C110="Yes","Yes",IF(Sheet2!C111="No","No",IF(Sheet2!C112="Yes","Yes",IF(Sheet2!C114="No","No",IF(Sheet2!C115="Yes","Yes",IF(Sheet2!C116="Yes","Yes",IF(Sheet2!C117="Yes","Yes","ERROR")))))))))))))))</f>
        <v/>
      </c>
      <c r="F82" s="26"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row>
    <row r="83" spans="1:12" s="1" customFormat="1" ht="12.75" x14ac:dyDescent="0.2">
      <c r="B83" s="1" t="s">
        <v>104</v>
      </c>
      <c r="E83" s="97">
        <f>SUM(Sheet2!E103:E117)</f>
        <v>0</v>
      </c>
      <c r="F83" s="97"/>
    </row>
    <row r="84" spans="1:12" s="1" customFormat="1" ht="12.75" x14ac:dyDescent="0.2">
      <c r="A84" s="29"/>
      <c r="B84" s="1" t="s">
        <v>105</v>
      </c>
      <c r="E84" s="98">
        <f>SUM(Sheet2!F103:F116)</f>
        <v>0</v>
      </c>
      <c r="F84" s="98"/>
    </row>
    <row r="85" spans="1:12" s="1" customFormat="1" ht="12.75" x14ac:dyDescent="0.2"/>
    <row r="86" spans="1:12" s="1" customFormat="1" ht="12.75" x14ac:dyDescent="0.2">
      <c r="A86" s="11" t="s">
        <v>34</v>
      </c>
      <c r="B86" s="12"/>
      <c r="C86" s="12"/>
      <c r="D86" s="12"/>
      <c r="E86" s="12"/>
      <c r="F86" s="12"/>
      <c r="G86" s="12"/>
      <c r="H86" s="12"/>
      <c r="I86" s="12"/>
      <c r="J86" s="12"/>
      <c r="K86" s="12"/>
      <c r="L86" s="13"/>
    </row>
    <row r="87" spans="1:12" s="1" customFormat="1" ht="12.75" x14ac:dyDescent="0.2"/>
    <row r="88" spans="1:12" s="15" customFormat="1" ht="12.75" x14ac:dyDescent="0.2">
      <c r="A88" s="27" t="s">
        <v>26</v>
      </c>
      <c r="B88" s="27"/>
      <c r="C88" s="27"/>
      <c r="D88" s="27"/>
      <c r="E88" s="27"/>
      <c r="F88" s="27"/>
      <c r="I88" s="27" t="str">
        <f>IF(OR(E82="",E82="ERROR"),"COMPLETE SECTION 1 and 2 ABOVE",IF(AND(E82="YES"),"Faculty/Institute HR", "FBS Accounts Payable"))</f>
        <v>COMPLETE SECTION 1 and 2 ABOVE</v>
      </c>
    </row>
    <row r="89" spans="1:12" s="1" customFormat="1" ht="12.75" x14ac:dyDescent="0.2">
      <c r="A89" s="1" t="s">
        <v>28</v>
      </c>
    </row>
    <row r="90" spans="1:12" s="1" customFormat="1" ht="12.75" x14ac:dyDescent="0.2"/>
    <row r="91" spans="1:12" s="1" customFormat="1" ht="12.75" x14ac:dyDescent="0.2">
      <c r="A91" s="9" t="s">
        <v>27</v>
      </c>
    </row>
    <row r="92" spans="1:12" s="1" customFormat="1" ht="12.75" x14ac:dyDescent="0.2">
      <c r="B92" s="28" t="s">
        <v>18</v>
      </c>
      <c r="C92" s="28" t="s">
        <v>19</v>
      </c>
      <c r="D92" s="28" t="s">
        <v>101</v>
      </c>
      <c r="E92" s="16" t="s">
        <v>20</v>
      </c>
      <c r="F92" s="28" t="s">
        <v>21</v>
      </c>
      <c r="G92" s="28" t="s">
        <v>22</v>
      </c>
    </row>
    <row r="93" spans="1:12" s="1" customFormat="1" ht="12.75" x14ac:dyDescent="0.2">
      <c r="B93" s="32"/>
      <c r="C93" s="33"/>
      <c r="D93" s="6"/>
      <c r="E93" s="6"/>
      <c r="F93" s="34"/>
      <c r="G93" s="6"/>
    </row>
    <row r="94" spans="1:12" s="1" customFormat="1" ht="12.75" x14ac:dyDescent="0.2">
      <c r="B94" s="1" t="s">
        <v>23</v>
      </c>
    </row>
    <row r="95" spans="1:12" s="1" customFormat="1" ht="12.75" x14ac:dyDescent="0.2">
      <c r="B95" s="83"/>
      <c r="C95" s="84"/>
      <c r="D95" s="84"/>
      <c r="E95" s="84"/>
      <c r="F95" s="84"/>
      <c r="G95" s="84"/>
      <c r="H95" s="85"/>
    </row>
    <row r="96" spans="1:12" s="1" customFormat="1" ht="12.75" x14ac:dyDescent="0.2"/>
    <row r="97" spans="1:12" s="1" customFormat="1" ht="12.75" x14ac:dyDescent="0.2">
      <c r="A97" s="1" t="s">
        <v>29</v>
      </c>
    </row>
    <row r="98" spans="1:12" s="1" customFormat="1" ht="12.75" x14ac:dyDescent="0.2">
      <c r="B98" s="9"/>
    </row>
    <row r="99" spans="1:12" s="1" customFormat="1" ht="12.75" x14ac:dyDescent="0.2"/>
    <row r="100" spans="1:12" s="1" customFormat="1" ht="12.75" x14ac:dyDescent="0.2">
      <c r="A100" s="11" t="s">
        <v>154</v>
      </c>
      <c r="B100" s="12"/>
      <c r="C100" s="12"/>
      <c r="D100" s="12"/>
      <c r="E100" s="12"/>
      <c r="F100" s="12"/>
      <c r="G100" s="12"/>
      <c r="H100" s="12"/>
      <c r="I100" s="12"/>
      <c r="J100" s="12"/>
      <c r="K100" s="12"/>
      <c r="L100" s="13"/>
    </row>
    <row r="101" spans="1:12" s="1" customFormat="1" ht="12.75" x14ac:dyDescent="0.2">
      <c r="A101" s="8"/>
      <c r="L101" s="29"/>
    </row>
    <row r="102" spans="1:12" s="1" customFormat="1" ht="12.75" x14ac:dyDescent="0.2">
      <c r="A102" s="14" t="s">
        <v>12</v>
      </c>
      <c r="E102" s="86">
        <f>E3</f>
        <v>0</v>
      </c>
      <c r="F102" s="87"/>
      <c r="G102" s="87"/>
      <c r="H102" s="87"/>
      <c r="I102" s="87"/>
      <c r="J102" s="87"/>
      <c r="K102" s="88"/>
    </row>
    <row r="103" spans="1:12" s="1" customFormat="1" ht="12.75" x14ac:dyDescent="0.2">
      <c r="A103" s="14" t="s">
        <v>7</v>
      </c>
      <c r="E103" s="83"/>
      <c r="F103" s="84"/>
      <c r="G103" s="84"/>
      <c r="H103" s="84"/>
      <c r="I103" s="84"/>
      <c r="J103" s="84"/>
      <c r="K103" s="85"/>
    </row>
    <row r="104" spans="1:12" s="1" customFormat="1" ht="12.75" x14ac:dyDescent="0.2">
      <c r="A104" s="14" t="s">
        <v>8</v>
      </c>
      <c r="E104" s="83" t="s">
        <v>9</v>
      </c>
      <c r="F104" s="84"/>
      <c r="G104" s="84"/>
      <c r="H104" s="84"/>
      <c r="I104" s="84"/>
      <c r="J104" s="84"/>
      <c r="K104" s="85"/>
    </row>
    <row r="105" spans="1:12" s="1" customFormat="1" ht="45.75" customHeight="1" x14ac:dyDescent="0.2">
      <c r="A105" s="14" t="s">
        <v>35</v>
      </c>
      <c r="E105" s="76"/>
      <c r="F105" s="77"/>
      <c r="G105" s="77"/>
      <c r="H105" s="77"/>
      <c r="I105" s="77"/>
      <c r="J105" s="77"/>
      <c r="K105" s="78"/>
    </row>
    <row r="106" spans="1:12" s="1" customFormat="1" ht="12.75" x14ac:dyDescent="0.2">
      <c r="A106" s="14" t="s">
        <v>13</v>
      </c>
      <c r="E106" s="83" t="s">
        <v>10</v>
      </c>
      <c r="F106" s="84"/>
      <c r="G106" s="84"/>
      <c r="H106" s="84"/>
      <c r="I106" s="84"/>
      <c r="J106" s="84"/>
      <c r="K106" s="85"/>
    </row>
    <row r="107" spans="1:12" s="1" customFormat="1" ht="12.75" x14ac:dyDescent="0.2">
      <c r="A107" s="14" t="s">
        <v>11</v>
      </c>
      <c r="E107" s="83"/>
      <c r="F107" s="84"/>
      <c r="G107" s="84"/>
      <c r="H107" s="84"/>
      <c r="I107" s="84"/>
      <c r="J107" s="84"/>
      <c r="K107" s="85"/>
    </row>
    <row r="108" spans="1:12" s="1" customFormat="1" ht="12.75" x14ac:dyDescent="0.2">
      <c r="A108" s="14" t="s">
        <v>14</v>
      </c>
      <c r="E108" s="83"/>
      <c r="F108" s="84"/>
      <c r="G108" s="84"/>
      <c r="H108" s="84"/>
      <c r="I108" s="84"/>
      <c r="J108" s="84"/>
      <c r="K108" s="85"/>
    </row>
    <row r="109" spans="1:12" s="1" customFormat="1" ht="12.75" x14ac:dyDescent="0.2">
      <c r="A109" s="14" t="s">
        <v>15</v>
      </c>
      <c r="E109" s="91"/>
      <c r="F109" s="92"/>
      <c r="G109" s="92"/>
      <c r="H109" s="92"/>
      <c r="I109" s="92"/>
      <c r="J109" s="92"/>
      <c r="K109" s="93"/>
    </row>
    <row r="110" spans="1:12" s="1" customFormat="1" ht="12.75" x14ac:dyDescent="0.2">
      <c r="A110" s="14" t="s">
        <v>16</v>
      </c>
      <c r="E110" s="83"/>
      <c r="F110" s="84"/>
      <c r="G110" s="84"/>
      <c r="H110" s="84"/>
      <c r="I110" s="84"/>
      <c r="J110" s="84"/>
      <c r="K110" s="85"/>
    </row>
    <row r="111" spans="1:12" s="1" customFormat="1" ht="30" customHeight="1" x14ac:dyDescent="0.2">
      <c r="A111" s="89" t="s">
        <v>36</v>
      </c>
      <c r="B111" s="89"/>
      <c r="C111" s="89"/>
      <c r="D111" s="90"/>
      <c r="E111" s="83"/>
      <c r="F111" s="84"/>
      <c r="G111" s="84"/>
      <c r="H111" s="84"/>
      <c r="I111" s="84"/>
      <c r="J111" s="84"/>
      <c r="K111" s="85"/>
    </row>
    <row r="112" spans="1:12" s="1" customFormat="1" ht="12.75" x14ac:dyDescent="0.2">
      <c r="B112" s="9"/>
    </row>
    <row r="113" spans="1:12" s="1" customFormat="1" ht="12.75" x14ac:dyDescent="0.2">
      <c r="A113" s="1" t="str">
        <f>IF(E82="Yes","As the payment must go through Faculty/Institute HR, please also complete the following forms:","")</f>
        <v/>
      </c>
      <c r="B113" s="9"/>
    </row>
    <row r="114" spans="1:12" s="1" customFormat="1" ht="12.75" x14ac:dyDescent="0.2">
      <c r="A114" s="1" t="str">
        <f>IF(E82="Yes","     - A HR Visiting Academic form - see here - ","")</f>
        <v/>
      </c>
      <c r="B114" s="9"/>
      <c r="E114" s="47" t="str">
        <f>IF(E82="Yes","http://www.uq.edu.au/shared/resources/personnel/recruitment/VisitingAcad-appt.doc","")</f>
        <v/>
      </c>
    </row>
    <row r="115" spans="1:12" s="1" customFormat="1" ht="12.75" x14ac:dyDescent="0.2">
      <c r="A115" s="1" t="str">
        <f>IF(E82="Yes","     - A Tax File Declaration form. ","")</f>
        <v/>
      </c>
      <c r="B115" s="9"/>
    </row>
    <row r="116" spans="1:12" s="1" customFormat="1" ht="12.75" x14ac:dyDescent="0.2">
      <c r="B116" s="9"/>
    </row>
    <row r="117" spans="1:12" s="1" customFormat="1" ht="12.75" x14ac:dyDescent="0.2">
      <c r="A117" s="11" t="s">
        <v>30</v>
      </c>
      <c r="B117" s="12"/>
      <c r="C117" s="12"/>
      <c r="D117" s="12"/>
      <c r="E117" s="12"/>
      <c r="F117" s="12"/>
      <c r="G117" s="12"/>
      <c r="H117" s="12"/>
      <c r="I117" s="12"/>
      <c r="J117" s="12"/>
      <c r="K117" s="12"/>
      <c r="L117" s="13"/>
    </row>
    <row r="118" spans="1:12" s="1" customFormat="1" ht="12.75" x14ac:dyDescent="0.2">
      <c r="A118" s="73" t="s">
        <v>44</v>
      </c>
      <c r="B118" s="73"/>
      <c r="C118" s="73"/>
      <c r="D118" s="73"/>
      <c r="E118" s="73"/>
      <c r="F118" s="73"/>
      <c r="G118" s="73"/>
      <c r="H118" s="73"/>
      <c r="I118" s="73"/>
      <c r="J118" s="73"/>
      <c r="K118" s="73"/>
      <c r="L118" s="73"/>
    </row>
    <row r="119" spans="1:12" s="1" customFormat="1" ht="31.5" customHeight="1" x14ac:dyDescent="0.2">
      <c r="A119" s="73"/>
      <c r="B119" s="73"/>
      <c r="C119" s="73"/>
      <c r="D119" s="73"/>
      <c r="E119" s="73"/>
      <c r="F119" s="73"/>
      <c r="G119" s="73"/>
      <c r="H119" s="73"/>
      <c r="I119" s="73"/>
      <c r="J119" s="73"/>
      <c r="K119" s="73"/>
      <c r="L119" s="73"/>
    </row>
    <row r="120" spans="1:12" s="1" customFormat="1" ht="12.75" x14ac:dyDescent="0.2">
      <c r="C120" s="35" t="s">
        <v>41</v>
      </c>
      <c r="D120" s="36"/>
      <c r="E120" s="37"/>
      <c r="F120" s="38" t="s">
        <v>43</v>
      </c>
      <c r="G120" s="39"/>
      <c r="H120" s="40"/>
      <c r="I120" s="38" t="s">
        <v>42</v>
      </c>
      <c r="J120" s="37"/>
      <c r="L120" s="29"/>
    </row>
    <row r="121" spans="1:12" s="1" customFormat="1" ht="12.75" x14ac:dyDescent="0.2">
      <c r="A121" s="8" t="s">
        <v>45</v>
      </c>
      <c r="C121" s="41"/>
      <c r="D121" s="42"/>
      <c r="E121" s="43"/>
      <c r="F121" s="41"/>
      <c r="G121" s="42"/>
      <c r="H121" s="43"/>
      <c r="I121" s="41"/>
      <c r="J121" s="43"/>
      <c r="L121" s="29"/>
    </row>
    <row r="122" spans="1:12" s="1" customFormat="1" ht="12.75" x14ac:dyDescent="0.2">
      <c r="A122" s="8" t="s">
        <v>46</v>
      </c>
      <c r="C122" s="41"/>
      <c r="D122" s="42"/>
      <c r="E122" s="43"/>
      <c r="F122" s="41"/>
      <c r="G122" s="42"/>
      <c r="H122" s="43"/>
      <c r="I122" s="41"/>
      <c r="J122" s="43"/>
      <c r="L122" s="29"/>
    </row>
    <row r="123" spans="1:12" s="1" customFormat="1" ht="30" customHeight="1" x14ac:dyDescent="0.2">
      <c r="A123" s="30" t="s">
        <v>47</v>
      </c>
      <c r="B123" s="10"/>
      <c r="C123" s="44"/>
      <c r="D123" s="45"/>
      <c r="E123" s="3"/>
      <c r="F123" s="4"/>
      <c r="G123" s="5"/>
      <c r="H123" s="3"/>
      <c r="I123" s="4"/>
      <c r="J123" s="3"/>
      <c r="K123" s="31"/>
    </row>
    <row r="124" spans="1:12" s="1" customFormat="1" ht="12.75" x14ac:dyDescent="0.2"/>
  </sheetData>
  <sheetProtection algorithmName="SHA-512" hashValue="BfMxNI4kErRleuyC+0X5o9FNXzGUYXOfOB0aokxNmYQUSpMPgFvXHDPFBECU3q3ETTyqXxPivMwrTub2QHdp9Q==" saltValue="r9ry2hnt/Y/LbSPrUCiR2A==" spinCount="100000" sheet="1" objects="1" scenarios="1"/>
  <mergeCells count="35">
    <mergeCell ref="A1:H1"/>
    <mergeCell ref="B33:C33"/>
    <mergeCell ref="E83:F83"/>
    <mergeCell ref="E84:F84"/>
    <mergeCell ref="E105:K105"/>
    <mergeCell ref="B39:D39"/>
    <mergeCell ref="E78:H78"/>
    <mergeCell ref="E79:H79"/>
    <mergeCell ref="B51:D51"/>
    <mergeCell ref="K60:L60"/>
    <mergeCell ref="K61:L61"/>
    <mergeCell ref="F3:J3"/>
    <mergeCell ref="A111:D111"/>
    <mergeCell ref="E106:K106"/>
    <mergeCell ref="E107:K107"/>
    <mergeCell ref="E108:K108"/>
    <mergeCell ref="E109:K109"/>
    <mergeCell ref="E110:K110"/>
    <mergeCell ref="E111:K111"/>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s>
  <hyperlinks>
    <hyperlink ref="E114" r:id="rId1" display="http://www.uq.edu.au/shared/resources/personnel/recruitment/VisitingAcad-appt.doc" xr:uid="{00000000-0004-0000-0000-000000000000}"/>
    <hyperlink ref="K38" r:id="rId2" display="https://coo.uq.edu.au/files/5702/contractor-employment-taxes-checklist.xlsx" xr:uid="{00000000-0004-0000-0000-000001000000}"/>
  </hyperlinks>
  <pageMargins left="0.7" right="0.7" top="0.75" bottom="0.75" header="0.3" footer="0.3"/>
  <pageSetup paperSize="9" scale="70" orientation="portrait" r:id="rId3"/>
  <rowBreaks count="1" manualBreakCount="1">
    <brk id="85" max="12" man="1"/>
  </rowBreaks>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Sheet2!$B$18:$B$20</xm:f>
          </x14:formula1>
          <xm:sqref>B24 B27 B30 B42 B48 B45 B36</xm:sqref>
        </x14:dataValidation>
        <x14:dataValidation type="list" allowBlank="1" showInputMessage="1" showErrorMessage="1" xr:uid="{00000000-0002-0000-0000-000001000000}">
          <x14:formula1>
            <xm:f>Sheet2!$B$23:$B$61</xm:f>
          </x14:formula1>
          <xm:sqref>B33</xm:sqref>
        </x14:dataValidation>
        <x14:dataValidation type="list" allowBlank="1" showInputMessage="1" showErrorMessage="1" xr:uid="{00000000-0002-0000-0000-000002000000}">
          <x14:formula1>
            <xm:f>Sheet2!$B$6:$B$16</xm:f>
          </x14:formula1>
          <xm:sqref>B51</xm:sqref>
        </x14:dataValidation>
        <x14:dataValidation type="list" allowBlank="1" showInputMessage="1" showErrorMessage="1" xr:uid="{00000000-0002-0000-0000-000003000000}">
          <x14:formula1>
            <xm:f>Sheet2!$C$18:$C$20</xm:f>
          </x14:formula1>
          <xm:sqref>B39:D39</xm:sqref>
        </x14:dataValidation>
        <x14:dataValidation type="list" allowBlank="1" showInputMessage="1" showErrorMessage="1" xr:uid="{00000000-0002-0000-0000-000004000000}">
          <x14:formula1>
            <xm:f>Sheet2!$B$91:$B$94</xm:f>
          </x14:formula1>
          <xm:sqref>E70:H70</xm:sqref>
        </x14:dataValidation>
        <x14:dataValidation type="list" allowBlank="1" showInputMessage="1" showErrorMessage="1" xr:uid="{00000000-0002-0000-0000-000005000000}">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G117"/>
  <sheetViews>
    <sheetView topLeftCell="A84" workbookViewId="0">
      <selection activeCell="G84" sqref="B1:G1048576"/>
    </sheetView>
  </sheetViews>
  <sheetFormatPr defaultColWidth="9.140625" defaultRowHeight="11.25" x14ac:dyDescent="0.2"/>
  <cols>
    <col min="1" max="1" width="9.140625" style="2" customWidth="1"/>
    <col min="2" max="2" width="46.7109375" style="2" hidden="1" customWidth="1"/>
    <col min="3" max="3" width="93.7109375" style="2" hidden="1" customWidth="1"/>
    <col min="4" max="4" width="76" style="2" hidden="1" customWidth="1"/>
    <col min="5" max="5" width="6.85546875" style="2" hidden="1" customWidth="1"/>
    <col min="6" max="6" width="6.28515625" style="2" hidden="1" customWidth="1"/>
    <col min="7" max="7" width="4.42578125" style="2" hidden="1" customWidth="1"/>
    <col min="8" max="8" width="4.42578125" style="2" customWidth="1"/>
    <col min="9" max="9" width="5.7109375" style="2" bestFit="1" customWidth="1"/>
    <col min="10" max="11" width="9.140625" style="2" customWidth="1"/>
    <col min="12" max="16384" width="9.140625" style="2"/>
  </cols>
  <sheetData>
    <row r="3" spans="2:3" ht="12.75" customHeight="1" x14ac:dyDescent="0.2">
      <c r="B3" s="2" t="s">
        <v>118</v>
      </c>
      <c r="C3" s="66" t="s">
        <v>161</v>
      </c>
    </row>
    <row r="5" spans="2:3" ht="12.75" x14ac:dyDescent="0.2">
      <c r="C5" s="61" t="s">
        <v>119</v>
      </c>
    </row>
    <row r="6" spans="2:3" x14ac:dyDescent="0.2">
      <c r="C6" s="62" t="s">
        <v>120</v>
      </c>
    </row>
    <row r="7" spans="2:3" x14ac:dyDescent="0.2">
      <c r="B7" s="2" t="s">
        <v>121</v>
      </c>
      <c r="C7" s="62">
        <f>ROUND(289/7,2)</f>
        <v>41.29</v>
      </c>
    </row>
    <row r="8" spans="2:3" x14ac:dyDescent="0.2">
      <c r="B8" s="2" t="s">
        <v>122</v>
      </c>
      <c r="C8" s="62">
        <f>ROUND(434/7,2)</f>
        <v>62</v>
      </c>
    </row>
    <row r="9" spans="2:3" x14ac:dyDescent="0.2">
      <c r="B9" s="2" t="s">
        <v>123</v>
      </c>
      <c r="C9" s="62">
        <f>ROUND(579/7,2)</f>
        <v>82.71</v>
      </c>
    </row>
    <row r="10" spans="2:3" x14ac:dyDescent="0.2">
      <c r="B10" s="2" t="s">
        <v>124</v>
      </c>
      <c r="C10" s="62">
        <f>ROUND(362/7,2)</f>
        <v>51.71</v>
      </c>
    </row>
    <row r="11" spans="2:3" x14ac:dyDescent="0.2">
      <c r="B11" s="2" t="s">
        <v>125</v>
      </c>
      <c r="C11" s="62">
        <f>ROUND(507/7,2)</f>
        <v>72.430000000000007</v>
      </c>
    </row>
    <row r="12" spans="2:3" x14ac:dyDescent="0.2">
      <c r="B12" s="2" t="s">
        <v>126</v>
      </c>
      <c r="C12" s="62">
        <f>ROUND(580/7,2)</f>
        <v>82.86</v>
      </c>
    </row>
    <row r="13" spans="2:3" x14ac:dyDescent="0.2">
      <c r="B13" s="2" t="s">
        <v>127</v>
      </c>
      <c r="C13" s="62">
        <f>ROUND(653/7,2)</f>
        <v>93.29</v>
      </c>
    </row>
    <row r="14" spans="2:3" x14ac:dyDescent="0.2">
      <c r="B14" s="2" t="s">
        <v>128</v>
      </c>
      <c r="C14" s="62">
        <f>ROUND(652/7,2)</f>
        <v>93.14</v>
      </c>
    </row>
    <row r="15" spans="2:3" x14ac:dyDescent="0.2">
      <c r="B15" s="2" t="s">
        <v>129</v>
      </c>
      <c r="C15" s="62">
        <f>ROUND(725/7,2)</f>
        <v>103.57</v>
      </c>
    </row>
    <row r="16" spans="2:3" x14ac:dyDescent="0.2">
      <c r="B16" s="2" t="s">
        <v>130</v>
      </c>
      <c r="C16" s="62">
        <f>ROUND(724/7,2)</f>
        <v>103.43</v>
      </c>
    </row>
    <row r="19" spans="2:6" x14ac:dyDescent="0.2">
      <c r="B19" s="2" t="s">
        <v>24</v>
      </c>
      <c r="C19" s="2" t="s">
        <v>106</v>
      </c>
    </row>
    <row r="20" spans="2:6" x14ac:dyDescent="0.2">
      <c r="B20" s="2" t="s">
        <v>2</v>
      </c>
      <c r="C20" s="2" t="s">
        <v>107</v>
      </c>
    </row>
    <row r="24" spans="2:6" x14ac:dyDescent="0.2">
      <c r="B24" s="2" t="s">
        <v>82</v>
      </c>
    </row>
    <row r="25" spans="2:6" x14ac:dyDescent="0.2">
      <c r="B25" s="2" t="s">
        <v>50</v>
      </c>
      <c r="C25" s="2" t="s">
        <v>94</v>
      </c>
      <c r="E25" s="2">
        <f>IF(AND(B25=Sheet1!$B$33,Sheet1!$B$42="No"),1,0)</f>
        <v>0</v>
      </c>
      <c r="F25" s="2">
        <f>IF(AND(B25=Sheet1!$B$33,Sheet1!$B$42="Yes"),1,0)</f>
        <v>0</v>
      </c>
    </row>
    <row r="26" spans="2:6" x14ac:dyDescent="0.2">
      <c r="B26" s="2" t="s">
        <v>51</v>
      </c>
      <c r="C26" s="2" t="s">
        <v>93</v>
      </c>
      <c r="D26" s="2" t="s">
        <v>102</v>
      </c>
      <c r="E26" s="2">
        <f>IF(AND(B26=Sheet1!$B$33,Sheet1!$B$42="No"),1,0)</f>
        <v>0</v>
      </c>
      <c r="F26" s="2">
        <f>IF(AND(B26=Sheet1!$B$33,Sheet1!$B$42="Yes"),1,0)</f>
        <v>0</v>
      </c>
    </row>
    <row r="27" spans="2:6" x14ac:dyDescent="0.2">
      <c r="B27" s="2" t="s">
        <v>52</v>
      </c>
      <c r="C27" s="2" t="s">
        <v>93</v>
      </c>
      <c r="D27" s="2" t="s">
        <v>102</v>
      </c>
      <c r="E27" s="2">
        <f>IF(AND(B27=Sheet1!$B$33,Sheet1!$B$42="No"),1,0)</f>
        <v>0</v>
      </c>
      <c r="F27" s="2">
        <f>IF(AND(B27=Sheet1!$B$33,Sheet1!$B$42="Yes"),1,0)</f>
        <v>0</v>
      </c>
    </row>
    <row r="28" spans="2:6" x14ac:dyDescent="0.2">
      <c r="B28" s="2" t="s">
        <v>53</v>
      </c>
      <c r="C28" s="2" t="s">
        <v>93</v>
      </c>
      <c r="D28" s="2" t="s">
        <v>102</v>
      </c>
      <c r="E28" s="2">
        <f>IF(AND(B28=Sheet1!$B$33,Sheet1!$B$42="No"),1,0)</f>
        <v>0</v>
      </c>
      <c r="F28" s="2">
        <f>IF(AND(B28=Sheet1!$B$33,Sheet1!$B$42="Yes"),1,0)</f>
        <v>0</v>
      </c>
    </row>
    <row r="29" spans="2:6" x14ac:dyDescent="0.2">
      <c r="B29" s="2" t="s">
        <v>92</v>
      </c>
      <c r="C29" s="2" t="s">
        <v>94</v>
      </c>
      <c r="E29" s="2">
        <f>IF(AND(B29=Sheet1!$B$33,Sheet1!$B$42="No"),1,0)</f>
        <v>0</v>
      </c>
      <c r="F29" s="2">
        <f>IF(AND(B29=Sheet1!$B$33,Sheet1!$B$42="Yes"),1,0)</f>
        <v>0</v>
      </c>
    </row>
    <row r="30" spans="2:6" x14ac:dyDescent="0.2">
      <c r="B30" s="2" t="s">
        <v>54</v>
      </c>
      <c r="C30" s="2" t="s">
        <v>94</v>
      </c>
      <c r="E30" s="2">
        <f>IF(AND(B30=Sheet1!$B$33,Sheet1!$B$42="No"),1,0)</f>
        <v>0</v>
      </c>
      <c r="F30" s="2">
        <f>IF(AND(B30=Sheet1!$B$33,Sheet1!$B$42="Yes"),1,0)</f>
        <v>0</v>
      </c>
    </row>
    <row r="31" spans="2:6" x14ac:dyDescent="0.2">
      <c r="B31" s="2" t="s">
        <v>55</v>
      </c>
      <c r="C31" s="2" t="s">
        <v>94</v>
      </c>
      <c r="E31" s="2">
        <f>IF(AND(B31=Sheet1!$B$33,Sheet1!$B$42="No"),1,0)</f>
        <v>0</v>
      </c>
      <c r="F31" s="2">
        <f>IF(AND(B31=Sheet1!$B$33,Sheet1!$B$42="Yes"),1,0)</f>
        <v>0</v>
      </c>
    </row>
    <row r="32" spans="2:6" x14ac:dyDescent="0.2">
      <c r="B32" s="2" t="s">
        <v>56</v>
      </c>
      <c r="C32" s="2" t="s">
        <v>93</v>
      </c>
      <c r="D32" s="2" t="s">
        <v>102</v>
      </c>
      <c r="E32" s="2">
        <f>IF(AND(B32=Sheet1!$B$33,Sheet1!$B$42="No"),1,0)</f>
        <v>0</v>
      </c>
      <c r="F32" s="2">
        <f>IF(AND(B32=Sheet1!$B$33,Sheet1!$B$42="Yes"),1,0)</f>
        <v>0</v>
      </c>
    </row>
    <row r="33" spans="2:6" x14ac:dyDescent="0.2">
      <c r="B33" s="2" t="s">
        <v>57</v>
      </c>
      <c r="C33" s="2" t="s">
        <v>100</v>
      </c>
      <c r="E33" s="2">
        <f>IF(AND(B33=Sheet1!$B$33,Sheet1!$B$42="No"),1,0)</f>
        <v>0</v>
      </c>
      <c r="F33" s="2">
        <f>IF(AND(B33=Sheet1!$B$33,Sheet1!$B$42="Yes"),1,0)</f>
        <v>0</v>
      </c>
    </row>
    <row r="34" spans="2:6" x14ac:dyDescent="0.2">
      <c r="B34" s="2" t="s">
        <v>58</v>
      </c>
      <c r="C34" s="2" t="s">
        <v>93</v>
      </c>
      <c r="D34" s="2" t="s">
        <v>102</v>
      </c>
      <c r="E34" s="2">
        <f>IF(AND(B34=Sheet1!$B$33,Sheet1!$B$42="No"),1,0)</f>
        <v>0</v>
      </c>
      <c r="F34" s="2">
        <f>IF(AND(B34=Sheet1!$B$33,Sheet1!$B$42="Yes"),1,0)</f>
        <v>0</v>
      </c>
    </row>
    <row r="35" spans="2:6" x14ac:dyDescent="0.2">
      <c r="B35" s="2" t="s">
        <v>59</v>
      </c>
      <c r="C35" s="2" t="s">
        <v>93</v>
      </c>
      <c r="D35" s="2" t="s">
        <v>102</v>
      </c>
      <c r="E35" s="2">
        <f>IF(AND(B35=Sheet1!$B$33,Sheet1!$B$42="No"),1,0)</f>
        <v>0</v>
      </c>
      <c r="F35" s="2">
        <f>IF(AND(B35=Sheet1!$B$33,Sheet1!$B$42="Yes"),1,0)</f>
        <v>0</v>
      </c>
    </row>
    <row r="36" spans="2:6" x14ac:dyDescent="0.2">
      <c r="B36" s="2" t="s">
        <v>60</v>
      </c>
      <c r="C36" s="2" t="s">
        <v>100</v>
      </c>
      <c r="E36" s="2">
        <f>IF(AND(B36=Sheet1!$B$33,Sheet1!$B$42="No"),1,0)</f>
        <v>0</v>
      </c>
      <c r="F36" s="2">
        <f>IF(AND(B36=Sheet1!$B$33,Sheet1!$B$42="Yes"),1,0)</f>
        <v>0</v>
      </c>
    </row>
    <row r="37" spans="2:6" x14ac:dyDescent="0.2">
      <c r="B37" s="2" t="s">
        <v>61</v>
      </c>
      <c r="C37" s="2" t="s">
        <v>95</v>
      </c>
      <c r="E37" s="2">
        <f>IF(AND(B37=Sheet1!$B$33,Sheet1!$B$42="No"),1,0)</f>
        <v>0</v>
      </c>
      <c r="F37" s="2">
        <f>IF(AND(B37=Sheet1!$B$33,Sheet1!$B$42="Yes"),1,0)</f>
        <v>0</v>
      </c>
    </row>
    <row r="38" spans="2:6" x14ac:dyDescent="0.2">
      <c r="B38" s="2" t="s">
        <v>62</v>
      </c>
      <c r="C38" s="2" t="s">
        <v>93</v>
      </c>
      <c r="D38" s="2" t="s">
        <v>102</v>
      </c>
      <c r="E38" s="2">
        <f>IF(AND(B38=Sheet1!$B$33,Sheet1!$B$42="No"),1,0)</f>
        <v>0</v>
      </c>
      <c r="F38" s="2">
        <f>IF(AND(B38=Sheet1!$B$33,Sheet1!$B$42="Yes"),1,0)</f>
        <v>0</v>
      </c>
    </row>
    <row r="39" spans="2:6" x14ac:dyDescent="0.2">
      <c r="B39" s="2" t="s">
        <v>63</v>
      </c>
      <c r="C39" s="2" t="s">
        <v>93</v>
      </c>
      <c r="D39" s="2" t="s">
        <v>102</v>
      </c>
      <c r="E39" s="2">
        <f>IF(AND(B39=Sheet1!$B$33,Sheet1!$B$42="No"),1,0)</f>
        <v>0</v>
      </c>
      <c r="F39" s="2">
        <f>IF(AND(B39=Sheet1!$B$33,Sheet1!$B$42="Yes"),1,0)</f>
        <v>0</v>
      </c>
    </row>
    <row r="40" spans="2:6" x14ac:dyDescent="0.2">
      <c r="B40" s="2" t="s">
        <v>64</v>
      </c>
      <c r="C40" s="2" t="s">
        <v>100</v>
      </c>
      <c r="E40" s="2">
        <f>IF(AND(B40=Sheet1!$B$33,Sheet1!$B$42="No"),1,0)</f>
        <v>0</v>
      </c>
      <c r="F40" s="2">
        <f>IF(AND(B40=Sheet1!$B$33,Sheet1!$B$42="Yes"),1,0)</f>
        <v>0</v>
      </c>
    </row>
    <row r="41" spans="2:6" x14ac:dyDescent="0.2">
      <c r="B41" s="2" t="s">
        <v>140</v>
      </c>
      <c r="C41" s="2" t="s">
        <v>93</v>
      </c>
      <c r="E41" s="2">
        <f>IF(AND(B41=Sheet1!$B$33,Sheet1!$B$42="No"),1,0)</f>
        <v>0</v>
      </c>
      <c r="F41" s="2">
        <f>IF(AND(B41=Sheet1!$B$33,Sheet1!$B$42="Yes"),1,0)</f>
        <v>0</v>
      </c>
    </row>
    <row r="42" spans="2:6" x14ac:dyDescent="0.2">
      <c r="B42" s="2" t="s">
        <v>65</v>
      </c>
      <c r="C42" s="2" t="s">
        <v>100</v>
      </c>
      <c r="E42" s="2">
        <f>IF(AND(B42=Sheet1!$B$33,Sheet1!$B$42="No"),1,0)</f>
        <v>0</v>
      </c>
      <c r="F42" s="2">
        <f>IF(AND(B42=Sheet1!$B$33,Sheet1!$B$42="Yes"),1,0)</f>
        <v>0</v>
      </c>
    </row>
    <row r="43" spans="2:6" x14ac:dyDescent="0.2">
      <c r="B43" s="2" t="s">
        <v>66</v>
      </c>
      <c r="C43" s="2" t="s">
        <v>100</v>
      </c>
      <c r="E43" s="2">
        <f>IF(AND(B43=Sheet1!$B$33,Sheet1!$B$42="No"),1,0)</f>
        <v>0</v>
      </c>
      <c r="F43" s="2">
        <f>IF(AND(B43=Sheet1!$B$33,Sheet1!$B$42="Yes"),1,0)</f>
        <v>0</v>
      </c>
    </row>
    <row r="44" spans="2:6" x14ac:dyDescent="0.2">
      <c r="B44" s="2" t="s">
        <v>67</v>
      </c>
      <c r="C44" s="2" t="s">
        <v>94</v>
      </c>
      <c r="E44" s="2">
        <f>IF(AND(B44=Sheet1!$B$33,Sheet1!$B$42="No"),1,0)</f>
        <v>0</v>
      </c>
      <c r="F44" s="2">
        <f>IF(AND(B44=Sheet1!$B$33,Sheet1!$B$42="Yes"),1,0)</f>
        <v>0</v>
      </c>
    </row>
    <row r="45" spans="2:6" x14ac:dyDescent="0.2">
      <c r="B45" s="2" t="s">
        <v>68</v>
      </c>
      <c r="C45" s="2" t="s">
        <v>93</v>
      </c>
      <c r="D45" s="2" t="s">
        <v>102</v>
      </c>
      <c r="E45" s="2">
        <f>IF(AND(B45=Sheet1!$B$33,Sheet1!$B$42="No"),1,0)</f>
        <v>0</v>
      </c>
      <c r="F45" s="2">
        <f>IF(AND(B45=Sheet1!$B$33,Sheet1!$B$42="Yes"),1,0)</f>
        <v>0</v>
      </c>
    </row>
    <row r="46" spans="2:6" x14ac:dyDescent="0.2">
      <c r="B46" s="2" t="s">
        <v>69</v>
      </c>
      <c r="C46" s="2" t="s">
        <v>159</v>
      </c>
      <c r="E46" s="2">
        <f>IF(AND(B46=Sheet1!$B$33,Sheet1!$B$42="No"),1,0)</f>
        <v>0</v>
      </c>
      <c r="F46" s="2">
        <f>IF(AND(B46=Sheet1!$B$33,Sheet1!$B$42="Yes"),1,0)</f>
        <v>0</v>
      </c>
    </row>
    <row r="47" spans="2:6" x14ac:dyDescent="0.2">
      <c r="B47" s="2" t="s">
        <v>70</v>
      </c>
      <c r="C47" s="2" t="s">
        <v>100</v>
      </c>
      <c r="E47" s="2">
        <f>IF(AND(B47=Sheet1!$B$33,Sheet1!$B$42="No"),1,0)</f>
        <v>0</v>
      </c>
      <c r="F47" s="2">
        <f>IF(AND(B47=Sheet1!$B$33,Sheet1!$B$42="Yes"),1,0)</f>
        <v>0</v>
      </c>
    </row>
    <row r="48" spans="2:6" x14ac:dyDescent="0.2">
      <c r="B48" s="2" t="s">
        <v>71</v>
      </c>
      <c r="C48" s="2" t="s">
        <v>93</v>
      </c>
      <c r="D48" s="2" t="s">
        <v>102</v>
      </c>
      <c r="E48" s="2">
        <f>IF(AND(B48=Sheet1!$B$33,Sheet1!$B$42="No"),1,0)</f>
        <v>0</v>
      </c>
      <c r="F48" s="2">
        <f>IF(AND(B48=Sheet1!$B$33,Sheet1!$B$42="Yes"),1,0)</f>
        <v>0</v>
      </c>
    </row>
    <row r="49" spans="2:6" x14ac:dyDescent="0.2">
      <c r="B49" s="2" t="s">
        <v>72</v>
      </c>
      <c r="C49" s="2" t="s">
        <v>93</v>
      </c>
      <c r="D49" s="2" t="s">
        <v>102</v>
      </c>
      <c r="E49" s="2">
        <f>IF(AND(B49=Sheet1!$B$33,Sheet1!$B$42="No"),1,0)</f>
        <v>0</v>
      </c>
      <c r="F49" s="2">
        <f>IF(AND(B49=Sheet1!$B$33,Sheet1!$B$42="Yes"),1,0)</f>
        <v>0</v>
      </c>
    </row>
    <row r="50" spans="2:6" x14ac:dyDescent="0.2">
      <c r="B50" s="2" t="s">
        <v>73</v>
      </c>
      <c r="C50" s="2" t="s">
        <v>93</v>
      </c>
      <c r="D50" s="2" t="s">
        <v>102</v>
      </c>
      <c r="E50" s="2">
        <f>IF(AND(B50=Sheet1!$B$33,Sheet1!$B$42="No"),1,0)</f>
        <v>0</v>
      </c>
      <c r="F50" s="2">
        <f>IF(AND(B50=Sheet1!$B$33,Sheet1!$B$42="Yes"),1,0)</f>
        <v>0</v>
      </c>
    </row>
    <row r="51" spans="2:6" x14ac:dyDescent="0.2">
      <c r="B51" s="2" t="s">
        <v>74</v>
      </c>
      <c r="C51" s="2" t="s">
        <v>93</v>
      </c>
      <c r="D51" s="2" t="s">
        <v>102</v>
      </c>
      <c r="E51" s="2">
        <f>IF(AND(B51=Sheet1!$B$33,Sheet1!$B$42="No"),1,0)</f>
        <v>0</v>
      </c>
      <c r="F51" s="2">
        <f>IF(AND(B51=Sheet1!$B$33,Sheet1!$B$42="Yes"),1,0)</f>
        <v>0</v>
      </c>
    </row>
    <row r="52" spans="2:6" x14ac:dyDescent="0.2">
      <c r="B52" s="2" t="s">
        <v>75</v>
      </c>
      <c r="C52" s="2" t="s">
        <v>94</v>
      </c>
      <c r="E52" s="2">
        <f>IF(AND(B52=Sheet1!$B$33,Sheet1!$B$42="No"),1,0)</f>
        <v>0</v>
      </c>
      <c r="F52" s="2">
        <f>IF(AND(B52=Sheet1!$B$33,Sheet1!$B$42="Yes"),1,0)</f>
        <v>0</v>
      </c>
    </row>
    <row r="53" spans="2:6" x14ac:dyDescent="0.2">
      <c r="B53" s="2" t="s">
        <v>76</v>
      </c>
      <c r="C53" s="2" t="s">
        <v>93</v>
      </c>
      <c r="D53" s="2" t="s">
        <v>102</v>
      </c>
      <c r="E53" s="2">
        <f>IF(AND(B53=Sheet1!$B$33,Sheet1!$B$42="No"),1,0)</f>
        <v>0</v>
      </c>
      <c r="F53" s="2">
        <f>IF(AND(B53=Sheet1!$B$33,Sheet1!$B$42="Yes"),1,0)</f>
        <v>0</v>
      </c>
    </row>
    <row r="54" spans="2:6" x14ac:dyDescent="0.2">
      <c r="B54" s="2" t="s">
        <v>77</v>
      </c>
      <c r="C54" s="2" t="s">
        <v>100</v>
      </c>
      <c r="E54" s="2">
        <f>IF(AND(B54=Sheet1!$B$33,Sheet1!$B$42="No"),1,0)</f>
        <v>0</v>
      </c>
      <c r="F54" s="2">
        <f>IF(AND(B54=Sheet1!$B$33,Sheet1!$B$42="Yes"),1,0)</f>
        <v>0</v>
      </c>
    </row>
    <row r="55" spans="2:6" x14ac:dyDescent="0.2">
      <c r="B55" s="2" t="s">
        <v>78</v>
      </c>
      <c r="C55" s="2" t="s">
        <v>93</v>
      </c>
      <c r="D55" s="2" t="s">
        <v>102</v>
      </c>
      <c r="E55" s="2">
        <f>IF(AND(B55=Sheet1!$B$33,Sheet1!$B$42="No"),1,0)</f>
        <v>0</v>
      </c>
      <c r="F55" s="2">
        <f>IF(AND(B55=Sheet1!$B$33,Sheet1!$B$42="Yes"),1,0)</f>
        <v>0</v>
      </c>
    </row>
    <row r="56" spans="2:6" x14ac:dyDescent="0.2">
      <c r="B56" s="2" t="s">
        <v>79</v>
      </c>
      <c r="C56" s="2" t="s">
        <v>93</v>
      </c>
      <c r="D56" s="2" t="s">
        <v>102</v>
      </c>
      <c r="E56" s="2">
        <f>IF(AND(B56=Sheet1!$B$33,Sheet1!$B$42="No"),1,0)</f>
        <v>0</v>
      </c>
      <c r="F56" s="2">
        <f>IF(AND(B56=Sheet1!$B$33,Sheet1!$B$42="Yes"),1,0)</f>
        <v>0</v>
      </c>
    </row>
    <row r="57" spans="2:6" x14ac:dyDescent="0.2">
      <c r="B57" s="2" t="s">
        <v>158</v>
      </c>
      <c r="C57" s="2" t="s">
        <v>93</v>
      </c>
      <c r="D57" s="2" t="s">
        <v>102</v>
      </c>
      <c r="E57" s="2">
        <f>IF(AND(B57=Sheet1!$B$33,Sheet1!$B$42="No"),1,0)</f>
        <v>0</v>
      </c>
      <c r="F57" s="2">
        <f>IF(AND(B57=Sheet1!$B$33,Sheet1!$B$42="Yes"),1,0)</f>
        <v>0</v>
      </c>
    </row>
    <row r="58" spans="2:6" x14ac:dyDescent="0.2">
      <c r="B58" s="2" t="s">
        <v>80</v>
      </c>
      <c r="C58" s="2" t="s">
        <v>100</v>
      </c>
      <c r="E58" s="2">
        <f>IF(AND(B58=Sheet1!$B$33,Sheet1!$B$42="No"),1,0)</f>
        <v>0</v>
      </c>
      <c r="F58" s="2">
        <f>IF(AND(B58=Sheet1!$B$33,Sheet1!$B$42="Yes"),1,0)</f>
        <v>0</v>
      </c>
    </row>
    <row r="59" spans="2:6" x14ac:dyDescent="0.2">
      <c r="B59" s="2" t="s">
        <v>91</v>
      </c>
      <c r="C59" s="2" t="s">
        <v>94</v>
      </c>
      <c r="E59" s="2">
        <f>IF(AND(B59=Sheet1!$B$33,Sheet1!$B$42="No"),1,0)</f>
        <v>0</v>
      </c>
      <c r="F59" s="2">
        <f>IF(AND(B59=Sheet1!$B$33,Sheet1!$B$42="Yes"),1,0)</f>
        <v>0</v>
      </c>
    </row>
    <row r="60" spans="2:6" x14ac:dyDescent="0.2">
      <c r="B60" s="2" t="s">
        <v>48</v>
      </c>
      <c r="C60" s="2" t="s">
        <v>100</v>
      </c>
      <c r="E60" s="2">
        <f>IF(AND(B60=Sheet1!$B$33,Sheet1!$B$42="No"),1,0)</f>
        <v>0</v>
      </c>
      <c r="F60" s="2">
        <f>IF(AND(B60=Sheet1!$B$33,Sheet1!$B$42="Yes"),1,0)</f>
        <v>0</v>
      </c>
    </row>
    <row r="61" spans="2:6" x14ac:dyDescent="0.2">
      <c r="B61" s="2" t="s">
        <v>81</v>
      </c>
      <c r="C61" s="2" t="s">
        <v>93</v>
      </c>
      <c r="D61" s="2" t="s">
        <v>102</v>
      </c>
      <c r="E61" s="2">
        <f>IF(AND(B61=Sheet1!$B$33,Sheet1!$B$42="No"),1,0)</f>
        <v>0</v>
      </c>
      <c r="F61" s="2">
        <f>IF(AND(B61=Sheet1!$B$33,Sheet1!$B$42="Yes"),1,0)</f>
        <v>0</v>
      </c>
    </row>
    <row r="67" spans="2:4" x14ac:dyDescent="0.2">
      <c r="B67" s="2" t="s">
        <v>50</v>
      </c>
      <c r="C67" s="2">
        <f>IF(Sheet1!$B$33=Sheet2!B67,1,0)</f>
        <v>0</v>
      </c>
      <c r="D67" s="2">
        <f>IF(AND(B67=Sheet1!$B$33,Sheet1!$B$36="Yes"),1,0)</f>
        <v>0</v>
      </c>
    </row>
    <row r="68" spans="2:4" x14ac:dyDescent="0.2">
      <c r="B68" s="2" t="s">
        <v>52</v>
      </c>
      <c r="C68" s="2">
        <f>IF(Sheet1!$B$33=Sheet2!B68,1,0)</f>
        <v>0</v>
      </c>
      <c r="D68" s="2">
        <f>IF(AND(B68=Sheet1!$B$33,Sheet1!$B$36="Yes"),1,0)</f>
        <v>0</v>
      </c>
    </row>
    <row r="69" spans="2:4" x14ac:dyDescent="0.2">
      <c r="B69" s="2" t="s">
        <v>54</v>
      </c>
      <c r="C69" s="2">
        <f>IF(Sheet1!$B$33=Sheet2!B69,1,0)</f>
        <v>0</v>
      </c>
      <c r="D69" s="2">
        <f>IF(AND(B69=Sheet1!$B$33,Sheet1!$B$36="Yes"),1,0)</f>
        <v>0</v>
      </c>
    </row>
    <row r="70" spans="2:4" x14ac:dyDescent="0.2">
      <c r="B70" s="2" t="s">
        <v>57</v>
      </c>
      <c r="C70" s="2">
        <f>IF(Sheet1!$B$33=Sheet2!B70,1,0)</f>
        <v>0</v>
      </c>
      <c r="D70" s="2">
        <f>IF(AND(B70=Sheet1!$B$33,Sheet1!$B$36="Yes"),1,0)</f>
        <v>0</v>
      </c>
    </row>
    <row r="71" spans="2:4" x14ac:dyDescent="0.2">
      <c r="B71" s="2" t="s">
        <v>58</v>
      </c>
      <c r="C71" s="2">
        <f>IF(Sheet1!$B$33=Sheet2!B71,1,0)</f>
        <v>0</v>
      </c>
      <c r="D71" s="2">
        <f>IF(AND(B71=Sheet1!$B$33,Sheet1!$B$36="Yes"),1,0)</f>
        <v>0</v>
      </c>
    </row>
    <row r="72" spans="2:4" x14ac:dyDescent="0.2">
      <c r="B72" s="2" t="s">
        <v>59</v>
      </c>
      <c r="C72" s="2">
        <f>IF(Sheet1!$B$33=Sheet2!B72,1,0)</f>
        <v>0</v>
      </c>
      <c r="D72" s="2">
        <f>IF(AND(B72=Sheet1!$B$33,Sheet1!$B$36="Yes"),1,0)</f>
        <v>0</v>
      </c>
    </row>
    <row r="73" spans="2:4" x14ac:dyDescent="0.2">
      <c r="B73" s="2" t="s">
        <v>60</v>
      </c>
      <c r="C73" s="2">
        <f>IF(Sheet1!$B$33=Sheet2!B73,1,0)</f>
        <v>0</v>
      </c>
      <c r="D73" s="2">
        <f>IF(AND(B73=Sheet1!$B$33,Sheet1!$B$36="Yes"),1,0)</f>
        <v>0</v>
      </c>
    </row>
    <row r="74" spans="2:4" x14ac:dyDescent="0.2">
      <c r="B74" s="2" t="s">
        <v>61</v>
      </c>
      <c r="C74" s="2">
        <f>IF(Sheet1!$B$33=Sheet2!B74,1,0)</f>
        <v>0</v>
      </c>
      <c r="D74" s="2">
        <f>IF(AND(B74=Sheet1!$B$33,Sheet1!$B$36="Yes"),1,0)</f>
        <v>0</v>
      </c>
    </row>
    <row r="75" spans="2:4" x14ac:dyDescent="0.2">
      <c r="B75" s="2" t="s">
        <v>62</v>
      </c>
      <c r="C75" s="2">
        <f>IF(Sheet1!$B$33=Sheet2!B75,1,0)</f>
        <v>0</v>
      </c>
      <c r="D75" s="2">
        <f>IF(AND(B75=Sheet1!$B$33,Sheet1!$B$36="Yes"),1,0)</f>
        <v>0</v>
      </c>
    </row>
    <row r="76" spans="2:4" x14ac:dyDescent="0.2">
      <c r="B76" s="2" t="s">
        <v>63</v>
      </c>
      <c r="C76" s="2">
        <f>IF(Sheet1!$B$33=Sheet2!B76,1,0)</f>
        <v>0</v>
      </c>
      <c r="D76" s="2">
        <f>IF(AND(B76=Sheet1!$B$33,Sheet1!$B$36="Yes"),1,0)</f>
        <v>0</v>
      </c>
    </row>
    <row r="77" spans="2:4" x14ac:dyDescent="0.2">
      <c r="B77" s="2" t="s">
        <v>140</v>
      </c>
      <c r="C77" s="2">
        <f>IF(Sheet1!$B$33=Sheet2!B77,1,0)</f>
        <v>0</v>
      </c>
      <c r="D77" s="2">
        <f>IF(AND(B77=Sheet1!$B$33,Sheet1!$B$36="Yes"),1,0)</f>
        <v>0</v>
      </c>
    </row>
    <row r="78" spans="2:4" x14ac:dyDescent="0.2">
      <c r="B78" s="2" t="s">
        <v>65</v>
      </c>
      <c r="C78" s="2">
        <f>IF(Sheet1!$B$33=Sheet2!B78,1,0)</f>
        <v>0</v>
      </c>
      <c r="D78" s="2">
        <f>IF(AND(B78=Sheet1!$B$33,Sheet1!$B$36="Yes"),1,0)</f>
        <v>0</v>
      </c>
    </row>
    <row r="79" spans="2:4" x14ac:dyDescent="0.2">
      <c r="B79" s="2" t="s">
        <v>68</v>
      </c>
      <c r="C79" s="2">
        <f>IF(Sheet1!$B$33=Sheet2!B79,1,0)</f>
        <v>0</v>
      </c>
      <c r="D79" s="2">
        <f>IF(AND(B79=Sheet1!$B$33,Sheet1!$B$36="Yes"),1,0)</f>
        <v>0</v>
      </c>
    </row>
    <row r="80" spans="2:4" x14ac:dyDescent="0.2">
      <c r="B80" s="2" t="s">
        <v>83</v>
      </c>
      <c r="C80" s="2">
        <f>IF(Sheet1!$B$33=Sheet2!B80,1,0)</f>
        <v>0</v>
      </c>
      <c r="D80" s="2">
        <f>IF(AND(B80=Sheet1!$B$33,Sheet1!$B$36="Yes"),1,0)</f>
        <v>0</v>
      </c>
    </row>
    <row r="81" spans="2:4" x14ac:dyDescent="0.2">
      <c r="B81" s="2" t="s">
        <v>71</v>
      </c>
      <c r="C81" s="2">
        <f>IF(Sheet1!$B$33=Sheet2!B81,1,0)</f>
        <v>0</v>
      </c>
      <c r="D81" s="2">
        <f>IF(AND(B81=Sheet1!$B$33,Sheet1!$B$36="Yes"),1,0)</f>
        <v>0</v>
      </c>
    </row>
    <row r="82" spans="2:4" x14ac:dyDescent="0.2">
      <c r="B82" s="2" t="s">
        <v>78</v>
      </c>
      <c r="C82" s="2">
        <f>IF(Sheet1!$B$33=Sheet2!B82,1,0)</f>
        <v>0</v>
      </c>
      <c r="D82" s="2">
        <f>IF(AND(B82=Sheet1!$B$33,Sheet1!$B$36="Yes"),1,0)</f>
        <v>0</v>
      </c>
    </row>
    <row r="83" spans="2:4" x14ac:dyDescent="0.2">
      <c r="B83" s="2" t="s">
        <v>80</v>
      </c>
      <c r="C83" s="2">
        <f>IF(Sheet1!$B$33=Sheet2!B83,1,0)</f>
        <v>0</v>
      </c>
      <c r="D83" s="2">
        <f>IF(AND(B83=Sheet1!$B$33,Sheet1!$B$36="Yes"),1,0)</f>
        <v>0</v>
      </c>
    </row>
    <row r="84" spans="2:4" x14ac:dyDescent="0.2">
      <c r="B84" s="2" t="s">
        <v>91</v>
      </c>
      <c r="C84" s="2">
        <f>IF(Sheet1!$B$33=Sheet2!B84,1,0)</f>
        <v>0</v>
      </c>
      <c r="D84" s="2">
        <f>IF(AND(B84=Sheet1!$B$33,Sheet1!$B$36="Yes"),1,0)</f>
        <v>0</v>
      </c>
    </row>
    <row r="90" spans="2:4" ht="12.75" x14ac:dyDescent="0.2">
      <c r="B90" s="1" t="s">
        <v>25</v>
      </c>
      <c r="C90" s="1"/>
      <c r="D90" s="22" t="s">
        <v>160</v>
      </c>
    </row>
    <row r="91" spans="2:4" ht="12.75" x14ac:dyDescent="0.2">
      <c r="B91" s="1"/>
      <c r="C91" s="1"/>
      <c r="D91" s="1"/>
    </row>
    <row r="92" spans="2:4" ht="12.75" x14ac:dyDescent="0.2">
      <c r="B92" s="1" t="s">
        <v>103</v>
      </c>
      <c r="C92" s="1"/>
      <c r="D92" s="1">
        <v>0</v>
      </c>
    </row>
    <row r="93" spans="2:4" ht="12.75" x14ac:dyDescent="0.2">
      <c r="B93" s="1" t="s">
        <v>5</v>
      </c>
      <c r="C93" s="1"/>
      <c r="D93" s="1">
        <v>175</v>
      </c>
    </row>
    <row r="94" spans="2:4" ht="12.75" x14ac:dyDescent="0.2">
      <c r="B94" s="1" t="s">
        <v>6</v>
      </c>
      <c r="C94" s="1"/>
      <c r="D94" s="1">
        <f>D93/2</f>
        <v>87.5</v>
      </c>
    </row>
    <row r="95" spans="2:4" ht="12.75" x14ac:dyDescent="0.2">
      <c r="B95" s="1" t="s">
        <v>0</v>
      </c>
      <c r="C95" s="1"/>
      <c r="D95" s="1">
        <f>29.9+33.65+57.3</f>
        <v>120.85</v>
      </c>
    </row>
    <row r="96" spans="2:4" ht="12.75" x14ac:dyDescent="0.2">
      <c r="B96" s="1" t="s">
        <v>1</v>
      </c>
      <c r="C96" s="1"/>
      <c r="D96" s="1">
        <v>21.3</v>
      </c>
    </row>
    <row r="100" spans="2:6" x14ac:dyDescent="0.2">
      <c r="B100" s="2" t="s">
        <v>84</v>
      </c>
      <c r="E100" s="2" t="s">
        <v>114</v>
      </c>
      <c r="F100" s="2" t="s">
        <v>115</v>
      </c>
    </row>
    <row r="102" spans="2:6" x14ac:dyDescent="0.2">
      <c r="B102" s="2" t="s">
        <v>85</v>
      </c>
    </row>
    <row r="103" spans="2:6" x14ac:dyDescent="0.2">
      <c r="B103" s="51" t="s">
        <v>86</v>
      </c>
      <c r="C103" s="51" t="str">
        <f>IF(AND(Sheet1!B24="Yes",Sheet1!B27="No"),"Yes","")</f>
        <v/>
      </c>
      <c r="D103" s="51" t="s">
        <v>113</v>
      </c>
      <c r="E103" s="53">
        <f>IF(C103="",0,Sheet1!E66)</f>
        <v>0</v>
      </c>
      <c r="F103" s="53">
        <v>0</v>
      </c>
    </row>
    <row r="104" spans="2:6" x14ac:dyDescent="0.2">
      <c r="B104" s="52" t="s">
        <v>87</v>
      </c>
      <c r="C104" s="52" t="str">
        <f>IF(AND(Sheet1!B27="Yes",Sheet1!B30="Yes",Sheet1!B33="",Sheet1!E74&gt;=Sheet1!E66),"No","")</f>
        <v/>
      </c>
      <c r="D104" s="52" t="s">
        <v>116</v>
      </c>
      <c r="E104" s="54">
        <v>0</v>
      </c>
      <c r="F104" s="54">
        <f>IF(C104="",0,Sheet1!E66-Sheet2!E104)</f>
        <v>0</v>
      </c>
    </row>
    <row r="105" spans="2:6" x14ac:dyDescent="0.2">
      <c r="B105" s="52" t="s">
        <v>87</v>
      </c>
      <c r="C105" s="52" t="str">
        <f>IF(AND(Sheet1!B27="Yes",Sheet1!B30="Yes",Sheet1!B33="",Sheet1!E74&lt;Sheet1!E66),"Yes","")</f>
        <v/>
      </c>
      <c r="D105" s="52" t="s">
        <v>117</v>
      </c>
      <c r="E105" s="54">
        <f>IF(C105="",0,Sheet1!E66-Sheet1!E74)</f>
        <v>0</v>
      </c>
      <c r="F105" s="54">
        <f>IF(C105="",0,Sheet1!E74)</f>
        <v>0</v>
      </c>
    </row>
    <row r="106" spans="2:6" x14ac:dyDescent="0.2">
      <c r="B106" s="50" t="s">
        <v>88</v>
      </c>
      <c r="C106" s="50" t="str">
        <f>IF(AND(Sheet1!B33="NOT LISTED",Sheet1!B30="Yes",Sheet1!B24="No",Sheet1!E74&gt;=Sheet1!E66),"No","")</f>
        <v/>
      </c>
      <c r="D106" s="50" t="s">
        <v>116</v>
      </c>
      <c r="E106" s="55">
        <v>0</v>
      </c>
      <c r="F106" s="55">
        <f>IF(C106="",0,Sheet1!E66-Sheet2!E106)</f>
        <v>0</v>
      </c>
    </row>
    <row r="107" spans="2:6" x14ac:dyDescent="0.2">
      <c r="B107" s="50" t="s">
        <v>88</v>
      </c>
      <c r="C107" s="50" t="str">
        <f>IF(AND(Sheet1!B33="NOT LISTED",Sheet1!B30="Yes",Sheet1!B24="No",Sheet1!E74&lt;Sheet1!E66),"Yes","")</f>
        <v/>
      </c>
      <c r="D107" s="50" t="s">
        <v>117</v>
      </c>
      <c r="E107" s="55">
        <f>IF(C107="",0,Sheet1!E66-Sheet1!E74)</f>
        <v>0</v>
      </c>
      <c r="F107" s="55">
        <f>IF(C107="",0,Sheet1!E74)</f>
        <v>0</v>
      </c>
    </row>
    <row r="108" spans="2:6" x14ac:dyDescent="0.2">
      <c r="B108" s="50" t="s">
        <v>88</v>
      </c>
      <c r="C108" s="50" t="str">
        <f>IF(AND(Sheet1!B33="NOT LISTED",Sheet1!B30="No"),"Yes","")</f>
        <v/>
      </c>
      <c r="D108" s="50" t="s">
        <v>109</v>
      </c>
      <c r="E108" s="55">
        <f>IF(C108="",0,Sheet1!E66)</f>
        <v>0</v>
      </c>
      <c r="F108" s="55">
        <v>0</v>
      </c>
    </row>
    <row r="109" spans="2:6" x14ac:dyDescent="0.2">
      <c r="B109" s="57" t="s">
        <v>89</v>
      </c>
      <c r="C109" s="57" t="str">
        <f>IF(SUM(D67:D84)&gt;0.5,"No","")</f>
        <v/>
      </c>
      <c r="D109" s="57" t="s">
        <v>110</v>
      </c>
      <c r="E109" s="58">
        <v>0</v>
      </c>
      <c r="F109" s="58">
        <f>IF(C109="",0,Sheet1!E66)</f>
        <v>0</v>
      </c>
    </row>
    <row r="110" spans="2:6" x14ac:dyDescent="0.2">
      <c r="B110" s="59" t="s">
        <v>90</v>
      </c>
      <c r="C110" s="59" t="str">
        <f>IF(Sheet1!B39="Employee","Yes","")</f>
        <v/>
      </c>
      <c r="D110" s="59" t="s">
        <v>111</v>
      </c>
      <c r="E110" s="60">
        <f>IF(C110="",0,Sheet1!E66)</f>
        <v>0</v>
      </c>
      <c r="F110" s="60">
        <v>0</v>
      </c>
    </row>
    <row r="111" spans="2:6" x14ac:dyDescent="0.2">
      <c r="B111" s="2" t="s">
        <v>108</v>
      </c>
      <c r="C111" s="2" t="str">
        <f>IF(SUM(E25:E61)&gt;0.5,"No","")</f>
        <v/>
      </c>
      <c r="D111" s="2" t="s">
        <v>139</v>
      </c>
      <c r="E111" s="56">
        <v>0</v>
      </c>
      <c r="F111" s="56">
        <f>IF(C111="",0,Sheet1!E66)</f>
        <v>0</v>
      </c>
    </row>
    <row r="112" spans="2:6" x14ac:dyDescent="0.2">
      <c r="B112" s="2" t="s">
        <v>108</v>
      </c>
      <c r="C112" s="2" t="str">
        <f>IF(SUM(F25:F61)&gt;0.5,"Yes","")</f>
        <v/>
      </c>
      <c r="D112" s="2" t="s">
        <v>112</v>
      </c>
      <c r="E112" s="56">
        <f>IF(C112="",0,Sheet1!E66)</f>
        <v>0</v>
      </c>
      <c r="F112" s="56">
        <v>0</v>
      </c>
    </row>
    <row r="113" spans="2:6" x14ac:dyDescent="0.2">
      <c r="B113" s="2" t="s">
        <v>108</v>
      </c>
      <c r="E113" s="56"/>
      <c r="F113" s="56"/>
    </row>
    <row r="114" spans="2:6" x14ac:dyDescent="0.2">
      <c r="B114" s="63" t="s">
        <v>133</v>
      </c>
      <c r="C114" s="63" t="str">
        <f>IF(AND(Sheet1!B45="Yes",Sheet1!B48="Yes",Sheet1!E66&lt;=Sheet1!E80),"No","")</f>
        <v/>
      </c>
      <c r="D114" s="63" t="s">
        <v>134</v>
      </c>
      <c r="E114" s="64">
        <v>0</v>
      </c>
      <c r="F114" s="64">
        <f>IF(C114="",0,Sheet1!E66-Sheet2!E114)</f>
        <v>0</v>
      </c>
    </row>
    <row r="115" spans="2:6" x14ac:dyDescent="0.2">
      <c r="B115" s="63" t="s">
        <v>133</v>
      </c>
      <c r="C115" s="63" t="str">
        <f>IF(Sheet1!B51="","",IF(AND(Sheet1!B45="Yes",Sheet1!B48="Yes",Sheet1!E66&gt;=Sheet1!E80),"Yes",""))</f>
        <v/>
      </c>
      <c r="D115" s="63" t="s">
        <v>135</v>
      </c>
      <c r="E115" s="64">
        <f>IF(C115="",0,Sheet1!E66-Sheet1!E80)</f>
        <v>0</v>
      </c>
      <c r="F115" s="64">
        <f>IF(C115="",0,Sheet1!E66-Sheet2!E115)</f>
        <v>0</v>
      </c>
    </row>
    <row r="116" spans="2:6" x14ac:dyDescent="0.2">
      <c r="B116" s="63" t="s">
        <v>133</v>
      </c>
      <c r="C116" s="63" t="str">
        <f>IF(Sheet1!B45="No","Yes","")</f>
        <v/>
      </c>
      <c r="D116" s="63" t="s">
        <v>136</v>
      </c>
      <c r="E116" s="64">
        <f>IF(C116="",0,Sheet1!E66-Sheet1!E80)</f>
        <v>0</v>
      </c>
      <c r="F116" s="64">
        <v>0</v>
      </c>
    </row>
    <row r="117" spans="2:6" x14ac:dyDescent="0.2">
      <c r="B117" s="65" t="s">
        <v>137</v>
      </c>
      <c r="C117" s="65" t="str">
        <f>IF(Sheet1!B48="No","Yes","")</f>
        <v/>
      </c>
      <c r="D117" s="65" t="s">
        <v>138</v>
      </c>
      <c r="E117" s="65">
        <f>IF(C117="",0,Sheet1!E66-Sheet1!E80)</f>
        <v>0</v>
      </c>
      <c r="F117" s="65">
        <v>0</v>
      </c>
    </row>
  </sheetData>
  <sheetProtection algorithmName="SHA-512" hashValue="OxBaCsyz486IL42fYSp9I86IuQZ3SAzuwS47dJoXzqQ4I7EXqNJExfHuUP7jbn6eyEbzi1dBgkmr9lHuKZwUSA==" saltValue="1mM1DqOnW0pzIgus2xIoXQ=="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John Leyland</cp:lastModifiedBy>
  <cp:lastPrinted>2017-12-20T00:40:06Z</cp:lastPrinted>
  <dcterms:created xsi:type="dcterms:W3CDTF">2014-10-24T04:48:52Z</dcterms:created>
  <dcterms:modified xsi:type="dcterms:W3CDTF">2022-10-09T23:28:00Z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2022-02-01T02:59:39Z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4f5213d7-9225-4a8e-997b-a71397444ac3</vt:lpwstr>
  </property>
  <property fmtid="{D5CDD505-2E9C-101B-9397-08002B2CF9AE}" pid="8" name="MSIP_Label_0f488380-630a-4f55-a077-a19445e3f360_ContentBits">
    <vt:lpwstr>0</vt:lpwstr>
  </property>
</Properties>
</file>